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LYR009" sheetId="1" r:id="rId1"/>
  </sheets>
  <definedNames>
    <definedName name="_xlnm.Print_Area" localSheetId="0">'PLYR009'!$A$1:$U$58</definedName>
  </definedNames>
  <calcPr fullCalcOnLoad="1" iterate="1" iterateCount="1" iterateDelta="0" refMode="R1C1"/>
</workbook>
</file>

<file path=xl/sharedStrings.xml><?xml version="1.0" encoding="utf-8"?>
<sst xmlns="http://schemas.openxmlformats.org/spreadsheetml/2006/main" count="825" uniqueCount="457">
  <si>
    <t>LEHIGH VALLEY PLAYER OF THE YEAR AWARD-WINNERS</t>
  </si>
  <si>
    <t xml:space="preserve">            2006-2009 POINT STANDINGS  --  Presented by the Golf Association of the Lehigh Valley</t>
  </si>
  <si>
    <t>2006</t>
  </si>
  <si>
    <t>2007</t>
  </si>
  <si>
    <t>2008</t>
  </si>
  <si>
    <t>2009</t>
  </si>
  <si>
    <t>1.</t>
  </si>
  <si>
    <t>Brian Bergstol</t>
  </si>
  <si>
    <t>Matt Mattare</t>
  </si>
  <si>
    <t>Brian Johnson</t>
  </si>
  <si>
    <t>2.</t>
  </si>
  <si>
    <t>Alex Knoll</t>
  </si>
  <si>
    <t>Jim Rattigan</t>
  </si>
  <si>
    <t>Mike Balco</t>
  </si>
  <si>
    <t>Phil Ries</t>
  </si>
  <si>
    <t>3.</t>
  </si>
  <si>
    <t>Rob Bosak</t>
  </si>
  <si>
    <t>Sal Picone</t>
  </si>
  <si>
    <t>Dave Blichar</t>
  </si>
  <si>
    <t>Dominic Carr</t>
  </si>
  <si>
    <t xml:space="preserve"> 1.</t>
  </si>
  <si>
    <t>4.</t>
  </si>
  <si>
    <t>Robin McCool  (S)</t>
  </si>
  <si>
    <t>Doug Marcincin</t>
  </si>
  <si>
    <t>Bob Posocco</t>
  </si>
  <si>
    <t xml:space="preserve"> 2.</t>
  </si>
  <si>
    <t>5.</t>
  </si>
  <si>
    <t>Brian Belden Jr.</t>
  </si>
  <si>
    <t xml:space="preserve"> 3.</t>
  </si>
  <si>
    <t>6.</t>
  </si>
  <si>
    <t>Andy Shoup</t>
  </si>
  <si>
    <t xml:space="preserve"> 4.</t>
  </si>
  <si>
    <t>7.</t>
  </si>
  <si>
    <t>Zach Fischl</t>
  </si>
  <si>
    <t>Tony Sarko</t>
  </si>
  <si>
    <t xml:space="preserve"> 5.</t>
  </si>
  <si>
    <t>8.</t>
  </si>
  <si>
    <t>Jason Wilson</t>
  </si>
  <si>
    <t xml:space="preserve"> 6.</t>
  </si>
  <si>
    <t>Robin McCool</t>
  </si>
  <si>
    <t>9.</t>
  </si>
  <si>
    <t>Jed Hoban</t>
  </si>
  <si>
    <t>Gary Daniels</t>
  </si>
  <si>
    <t xml:space="preserve"> 7.</t>
  </si>
  <si>
    <t>Phil Reis</t>
  </si>
  <si>
    <t xml:space="preserve"> 10.</t>
  </si>
  <si>
    <t>Jeff Hudson</t>
  </si>
  <si>
    <t xml:space="preserve"> 8.</t>
  </si>
  <si>
    <t xml:space="preserve"> 11.</t>
  </si>
  <si>
    <t>John Olszewski</t>
  </si>
  <si>
    <t>Ryan Blair</t>
  </si>
  <si>
    <t xml:space="preserve"> 9.</t>
  </si>
  <si>
    <t xml:space="preserve"> 12.</t>
  </si>
  <si>
    <t>Nick Schiavone</t>
  </si>
  <si>
    <t>10.</t>
  </si>
  <si>
    <t xml:space="preserve"> 13.</t>
  </si>
  <si>
    <t>Brandon Davis</t>
  </si>
  <si>
    <t>11.</t>
  </si>
  <si>
    <t>Dave Olexson</t>
  </si>
  <si>
    <t xml:space="preserve"> 14.</t>
  </si>
  <si>
    <t>John Jaques</t>
  </si>
  <si>
    <t>12.</t>
  </si>
  <si>
    <t xml:space="preserve"> 15.</t>
  </si>
  <si>
    <t>Dave Strohl</t>
  </si>
  <si>
    <t>Tom Soares</t>
  </si>
  <si>
    <t>Nate Fry</t>
  </si>
  <si>
    <t>Dan Costenbader</t>
  </si>
  <si>
    <t>13.</t>
  </si>
  <si>
    <t>Tom Lusto</t>
  </si>
  <si>
    <t xml:space="preserve"> 16.</t>
  </si>
  <si>
    <t>Pat Hardin</t>
  </si>
  <si>
    <t>14.</t>
  </si>
  <si>
    <t xml:space="preserve"> 17.</t>
  </si>
  <si>
    <t>Ed Mesko</t>
  </si>
  <si>
    <t>Jesse Bingaman</t>
  </si>
  <si>
    <t>Bob Ware</t>
  </si>
  <si>
    <t>15.</t>
  </si>
  <si>
    <t xml:space="preserve"> 18.</t>
  </si>
  <si>
    <t>Ed Kluemper  (S)</t>
  </si>
  <si>
    <t>16.</t>
  </si>
  <si>
    <t>Terry Slater Jr.</t>
  </si>
  <si>
    <t>Rob Arnts</t>
  </si>
  <si>
    <t xml:space="preserve"> 19.</t>
  </si>
  <si>
    <t>Bryan Ott</t>
  </si>
  <si>
    <t>Rich Thon</t>
  </si>
  <si>
    <t>17.</t>
  </si>
  <si>
    <t xml:space="preserve"> 20.</t>
  </si>
  <si>
    <t>Ed Kluemper</t>
  </si>
  <si>
    <t>Scott McCool</t>
  </si>
  <si>
    <t>John Dimler</t>
  </si>
  <si>
    <t>18.</t>
  </si>
  <si>
    <t xml:space="preserve"> 21.</t>
  </si>
  <si>
    <t>Oscar Neubauer</t>
  </si>
  <si>
    <t>Mike Weiner</t>
  </si>
  <si>
    <t>19.</t>
  </si>
  <si>
    <t>Rich Kovacs</t>
  </si>
  <si>
    <t xml:space="preserve"> 22.</t>
  </si>
  <si>
    <t>20.</t>
  </si>
  <si>
    <t xml:space="preserve"> 23.</t>
  </si>
  <si>
    <t>Pat Serfass</t>
  </si>
  <si>
    <t>21.</t>
  </si>
  <si>
    <t xml:space="preserve"> 24.</t>
  </si>
  <si>
    <t>Lance Oberparleiter</t>
  </si>
  <si>
    <t>Michael Englert</t>
  </si>
  <si>
    <t>22.</t>
  </si>
  <si>
    <t xml:space="preserve"> 25.</t>
  </si>
  <si>
    <t>Tom Egolf</t>
  </si>
  <si>
    <t>John Donofrio</t>
  </si>
  <si>
    <t>Sarah Brown</t>
  </si>
  <si>
    <t>23.</t>
  </si>
  <si>
    <t>Rob Miller</t>
  </si>
  <si>
    <t xml:space="preserve"> 26.</t>
  </si>
  <si>
    <t>Mark McGowan</t>
  </si>
  <si>
    <t>Joey Garrity</t>
  </si>
  <si>
    <t>24.</t>
  </si>
  <si>
    <t>Geoff Kelowitz</t>
  </si>
  <si>
    <t xml:space="preserve"> 27.</t>
  </si>
  <si>
    <t>Shane Gunning</t>
  </si>
  <si>
    <t>Dominic Schiavone</t>
  </si>
  <si>
    <t>Ed Winters III</t>
  </si>
  <si>
    <t>25.</t>
  </si>
  <si>
    <t xml:space="preserve"> 28.</t>
  </si>
  <si>
    <t>David Clark</t>
  </si>
  <si>
    <t>Eric Ostrosky</t>
  </si>
  <si>
    <t>26.</t>
  </si>
  <si>
    <t>Brad Gordon</t>
  </si>
  <si>
    <t xml:space="preserve"> 29.</t>
  </si>
  <si>
    <t>Mike DeCapua</t>
  </si>
  <si>
    <t>Tom Barlok</t>
  </si>
  <si>
    <t>Evan Notaro</t>
  </si>
  <si>
    <t>27.</t>
  </si>
  <si>
    <t xml:space="preserve"> 30.</t>
  </si>
  <si>
    <t>Andrew Feldman</t>
  </si>
  <si>
    <t>28.</t>
  </si>
  <si>
    <t xml:space="preserve"> 31.</t>
  </si>
  <si>
    <t>Doug Kingston</t>
  </si>
  <si>
    <t>Steve Frisch</t>
  </si>
  <si>
    <t>Ike Haluska</t>
  </si>
  <si>
    <t>29.</t>
  </si>
  <si>
    <t>Tom Mallouk</t>
  </si>
  <si>
    <t xml:space="preserve"> 32.</t>
  </si>
  <si>
    <t>Steve Boerner</t>
  </si>
  <si>
    <t>30.</t>
  </si>
  <si>
    <t xml:space="preserve"> 33.</t>
  </si>
  <si>
    <t>Dave Derminio</t>
  </si>
  <si>
    <t>Eric Cogorno</t>
  </si>
  <si>
    <t>Adam Puskar</t>
  </si>
  <si>
    <t>31.</t>
  </si>
  <si>
    <t xml:space="preserve"> 34.</t>
  </si>
  <si>
    <t>Bruce Eck</t>
  </si>
  <si>
    <t>Chris Ortman</t>
  </si>
  <si>
    <t>Ben Spence</t>
  </si>
  <si>
    <t>32.</t>
  </si>
  <si>
    <t>Mike Paukovits</t>
  </si>
  <si>
    <t>Steve Derminio</t>
  </si>
  <si>
    <t xml:space="preserve"> 35.</t>
  </si>
  <si>
    <t>Jordan Keller</t>
  </si>
  <si>
    <t>33.</t>
  </si>
  <si>
    <t xml:space="preserve"> 36.</t>
  </si>
  <si>
    <t>Tom Stitt</t>
  </si>
  <si>
    <t>Dave Rader</t>
  </si>
  <si>
    <t>34.</t>
  </si>
  <si>
    <t>Bob Butz</t>
  </si>
  <si>
    <t xml:space="preserve"> 37.</t>
  </si>
  <si>
    <t>Bob Ockenfuss</t>
  </si>
  <si>
    <t>John McCurry</t>
  </si>
  <si>
    <t>35.</t>
  </si>
  <si>
    <t>Brian Jodoin</t>
  </si>
  <si>
    <t xml:space="preserve"> 38.</t>
  </si>
  <si>
    <t>Brendan Mohler</t>
  </si>
  <si>
    <t>36.</t>
  </si>
  <si>
    <t>Ed Zamorski</t>
  </si>
  <si>
    <t xml:space="preserve"> 39.</t>
  </si>
  <si>
    <t>Matt Sullivan</t>
  </si>
  <si>
    <t>Scott Kalamar</t>
  </si>
  <si>
    <t>37.</t>
  </si>
  <si>
    <t>Rick Piger</t>
  </si>
  <si>
    <t>Tom Woodring</t>
  </si>
  <si>
    <t xml:space="preserve"> 40.</t>
  </si>
  <si>
    <t>Chris Fackler</t>
  </si>
  <si>
    <t>Mark Coassolo</t>
  </si>
  <si>
    <t>Danny Walck</t>
  </si>
  <si>
    <t>38.</t>
  </si>
  <si>
    <t>Tim Llewellyn</t>
  </si>
  <si>
    <t xml:space="preserve"> 41.</t>
  </si>
  <si>
    <t>Bill McCloskey</t>
  </si>
  <si>
    <t>39.</t>
  </si>
  <si>
    <t>Dave Ambrose</t>
  </si>
  <si>
    <t xml:space="preserve"> 42.</t>
  </si>
  <si>
    <t>Geoff Jones</t>
  </si>
  <si>
    <t>40.</t>
  </si>
  <si>
    <t>Dave Schaare</t>
  </si>
  <si>
    <t xml:space="preserve"> 43.</t>
  </si>
  <si>
    <t>Jack Booros</t>
  </si>
  <si>
    <t>41.</t>
  </si>
  <si>
    <t>Sean Szerencsits</t>
  </si>
  <si>
    <t>Anthony Enos</t>
  </si>
  <si>
    <t xml:space="preserve"> 44.</t>
  </si>
  <si>
    <t>Thomas Brooke</t>
  </si>
  <si>
    <t>42.</t>
  </si>
  <si>
    <t xml:space="preserve"> 45.</t>
  </si>
  <si>
    <t>Bob Evans</t>
  </si>
  <si>
    <t>43.</t>
  </si>
  <si>
    <t>Andy Lykon</t>
  </si>
  <si>
    <t xml:space="preserve"> 46.</t>
  </si>
  <si>
    <t>Tom Llewellyn</t>
  </si>
  <si>
    <t>44.</t>
  </si>
  <si>
    <t>Matt Simpson</t>
  </si>
  <si>
    <t xml:space="preserve"> 47.</t>
  </si>
  <si>
    <t>Dave DeYong III</t>
  </si>
  <si>
    <t>45.</t>
  </si>
  <si>
    <t>Leo Fischl</t>
  </si>
  <si>
    <t xml:space="preserve"> 48.</t>
  </si>
  <si>
    <t>David Brown</t>
  </si>
  <si>
    <t>Tony Choy</t>
  </si>
  <si>
    <t>46.</t>
  </si>
  <si>
    <t>Mike Serensits</t>
  </si>
  <si>
    <t xml:space="preserve"> 49.</t>
  </si>
  <si>
    <t>Bill Ricci</t>
  </si>
  <si>
    <t>Mark Saeger</t>
  </si>
  <si>
    <t>47.</t>
  </si>
  <si>
    <t xml:space="preserve"> 50.</t>
  </si>
  <si>
    <t>Ryan Orcutt</t>
  </si>
  <si>
    <t>48.</t>
  </si>
  <si>
    <t>Tom Timby</t>
  </si>
  <si>
    <t>(S):</t>
  </si>
  <si>
    <t>Top senior player point-getter.</t>
  </si>
  <si>
    <t>Dan Novak</t>
  </si>
  <si>
    <t>Robert Schultz</t>
  </si>
  <si>
    <t>49.</t>
  </si>
  <si>
    <t>50.</t>
  </si>
  <si>
    <t>Marty Root</t>
  </si>
  <si>
    <t>Gregg Belardo</t>
  </si>
  <si>
    <t>51.</t>
  </si>
  <si>
    <t>Nathan Fry</t>
  </si>
  <si>
    <t>Paul Lassiter</t>
  </si>
  <si>
    <t>Mike Bereczak</t>
  </si>
  <si>
    <t>52.</t>
  </si>
  <si>
    <t>Aaron Steinmetz</t>
  </si>
  <si>
    <t>Gary Schillo</t>
  </si>
  <si>
    <t>53.</t>
  </si>
  <si>
    <t>Silvio Martel</t>
  </si>
  <si>
    <t>Kyle Pritchard</t>
  </si>
  <si>
    <t>54.</t>
  </si>
  <si>
    <t>Joe Jasinski</t>
  </si>
  <si>
    <t>Dave Mercer</t>
  </si>
  <si>
    <t>Justin Hilgert</t>
  </si>
  <si>
    <t>55.</t>
  </si>
  <si>
    <t>Mark Contento</t>
  </si>
  <si>
    <t>Lonnie Pintande</t>
  </si>
  <si>
    <t>Tom Bartolacci</t>
  </si>
  <si>
    <t>56.</t>
  </si>
  <si>
    <t>Derek Kistler</t>
  </si>
  <si>
    <t>Jeff Codrea</t>
  </si>
  <si>
    <t>Stan Kozuch</t>
  </si>
  <si>
    <t>Jim Lynn</t>
  </si>
  <si>
    <t>57.</t>
  </si>
  <si>
    <t>Mike Smolick</t>
  </si>
  <si>
    <t>58.</t>
  </si>
  <si>
    <t>Rich Cansfield</t>
  </si>
  <si>
    <t>Tom Davis</t>
  </si>
  <si>
    <t>Nick Zawarski</t>
  </si>
  <si>
    <t>Duane Dotta</t>
  </si>
  <si>
    <t>59.</t>
  </si>
  <si>
    <t>Rob McKay</t>
  </si>
  <si>
    <t>60.</t>
  </si>
  <si>
    <t>Mark Hunsicker</t>
  </si>
  <si>
    <t>Dave Korp</t>
  </si>
  <si>
    <t>Brian Kelley</t>
  </si>
  <si>
    <t>61.</t>
  </si>
  <si>
    <t>Darrell Lawson</t>
  </si>
  <si>
    <t>Nick Shoup</t>
  </si>
  <si>
    <t>62.</t>
  </si>
  <si>
    <t>Ryan McCall</t>
  </si>
  <si>
    <t>Bill Kelly</t>
  </si>
  <si>
    <t>63.</t>
  </si>
  <si>
    <t>Marty Parola</t>
  </si>
  <si>
    <t>Rick Kunkle</t>
  </si>
  <si>
    <t>64.</t>
  </si>
  <si>
    <t>Mark Bartkowski</t>
  </si>
  <si>
    <t>Brian Buckley</t>
  </si>
  <si>
    <t>65.</t>
  </si>
  <si>
    <t>Ted Beckowski Jr.</t>
  </si>
  <si>
    <t>66.</t>
  </si>
  <si>
    <t>Barry Brackenbury</t>
  </si>
  <si>
    <t>67.</t>
  </si>
  <si>
    <t>68.</t>
  </si>
  <si>
    <t>Barry Klinikowski</t>
  </si>
  <si>
    <t>Dennis Keglovits</t>
  </si>
  <si>
    <t>69.</t>
  </si>
  <si>
    <t>Jared Miller</t>
  </si>
  <si>
    <t>Jim Robertson</t>
  </si>
  <si>
    <t>Steve Borrelli</t>
  </si>
  <si>
    <t>Zach Allinson</t>
  </si>
  <si>
    <t>70.</t>
  </si>
  <si>
    <t>Rob Smith</t>
  </si>
  <si>
    <t>Dean Altemose</t>
  </si>
  <si>
    <t>Barry Dornich</t>
  </si>
  <si>
    <t>71.</t>
  </si>
  <si>
    <t>Richard Pearce II</t>
  </si>
  <si>
    <t>Brian McCall</t>
  </si>
  <si>
    <t>72.</t>
  </si>
  <si>
    <t>Frank Tarsi</t>
  </si>
  <si>
    <t>Stani Schiavone</t>
  </si>
  <si>
    <t>Bob Dwyer</t>
  </si>
  <si>
    <t>73.</t>
  </si>
  <si>
    <t>Steve Demchyk</t>
  </si>
  <si>
    <t>Dennis Bednarski</t>
  </si>
  <si>
    <t>74.</t>
  </si>
  <si>
    <t>Jim Sakasits</t>
  </si>
  <si>
    <t>Jim Vayas</t>
  </si>
  <si>
    <t>Chris Gardner</t>
  </si>
  <si>
    <t>75.</t>
  </si>
  <si>
    <t>Fred Henriquez</t>
  </si>
  <si>
    <t>Sean Dobrowolski</t>
  </si>
  <si>
    <t>Mike Bartkowski</t>
  </si>
  <si>
    <t>George Harris</t>
  </si>
  <si>
    <t>76.</t>
  </si>
  <si>
    <t>Mark Czerniakowski</t>
  </si>
  <si>
    <t>77.</t>
  </si>
  <si>
    <t>Mike Hersch Jr.</t>
  </si>
  <si>
    <t>David Tretter</t>
  </si>
  <si>
    <t>78.</t>
  </si>
  <si>
    <t>John Male</t>
  </si>
  <si>
    <t>Tom Tyler</t>
  </si>
  <si>
    <t>Dick Schindler</t>
  </si>
  <si>
    <t>79.</t>
  </si>
  <si>
    <t>David Beil</t>
  </si>
  <si>
    <t>Bob Reid</t>
  </si>
  <si>
    <t>80.</t>
  </si>
  <si>
    <t>Alex Green</t>
  </si>
  <si>
    <t>Steve Barbato</t>
  </si>
  <si>
    <t>81.</t>
  </si>
  <si>
    <t>Bill Pursell</t>
  </si>
  <si>
    <t>Dave Scott</t>
  </si>
  <si>
    <t>Cory Schmidt</t>
  </si>
  <si>
    <t>Darren Danner</t>
  </si>
  <si>
    <t>82.</t>
  </si>
  <si>
    <t>Chris Wagner</t>
  </si>
  <si>
    <t>Steve Melnick</t>
  </si>
  <si>
    <t>83.</t>
  </si>
  <si>
    <t>Frank Filippo</t>
  </si>
  <si>
    <t>Jordan Abel</t>
  </si>
  <si>
    <t>84.</t>
  </si>
  <si>
    <t>Keith Durocher</t>
  </si>
  <si>
    <t>Tim Nagle</t>
  </si>
  <si>
    <t>85.</t>
  </si>
  <si>
    <t>86.</t>
  </si>
  <si>
    <t>Carl Greener II</t>
  </si>
  <si>
    <t>Elliott Sheftel</t>
  </si>
  <si>
    <t>87.</t>
  </si>
  <si>
    <t>Aaron Zakszeski</t>
  </si>
  <si>
    <t>88.</t>
  </si>
  <si>
    <t>Steve Domitrowits</t>
  </si>
  <si>
    <t>89.</t>
  </si>
  <si>
    <t>Bob Beck</t>
  </si>
  <si>
    <t>Nick Sabatine</t>
  </si>
  <si>
    <t>90.</t>
  </si>
  <si>
    <t>Nick Lukow</t>
  </si>
  <si>
    <t>91.</t>
  </si>
  <si>
    <t>Chris Daniels</t>
  </si>
  <si>
    <t>92.</t>
  </si>
  <si>
    <t>Tom Sarosky</t>
  </si>
  <si>
    <t>Tom Schlener</t>
  </si>
  <si>
    <t>93.</t>
  </si>
  <si>
    <t>Randy Kurzinsky</t>
  </si>
  <si>
    <t>Matt Wearing</t>
  </si>
  <si>
    <t>94.</t>
  </si>
  <si>
    <t>L.J. Bennett</t>
  </si>
  <si>
    <t>Don Haines</t>
  </si>
  <si>
    <t>95.</t>
  </si>
  <si>
    <t>Danny Richie</t>
  </si>
  <si>
    <t>96.</t>
  </si>
  <si>
    <t>97.</t>
  </si>
  <si>
    <t>Terry Sandercock</t>
  </si>
  <si>
    <t>Gaspare DeCarlo</t>
  </si>
  <si>
    <t>98.</t>
  </si>
  <si>
    <t>Drew Endy</t>
  </si>
  <si>
    <t>John Stepanik Jr.</t>
  </si>
  <si>
    <t>99.</t>
  </si>
  <si>
    <t>Art Scott</t>
  </si>
  <si>
    <t>Lou Yurasits</t>
  </si>
  <si>
    <t>100.</t>
  </si>
  <si>
    <t>101.</t>
  </si>
  <si>
    <t>Perry Nardella</t>
  </si>
  <si>
    <t>Bob Luhman</t>
  </si>
  <si>
    <t>Michael Ashcraft</t>
  </si>
  <si>
    <t>102.</t>
  </si>
  <si>
    <t>Stacy Cartledge</t>
  </si>
  <si>
    <t>Judd Pape</t>
  </si>
  <si>
    <t>103.</t>
  </si>
  <si>
    <t>Bill Brooks</t>
  </si>
  <si>
    <t>Mike Rowland</t>
  </si>
  <si>
    <t>104.</t>
  </si>
  <si>
    <t>Steve Ross</t>
  </si>
  <si>
    <t>Fran Tusak</t>
  </si>
  <si>
    <t>105.</t>
  </si>
  <si>
    <t>Josh Richards</t>
  </si>
  <si>
    <t>Martin Tadlock</t>
  </si>
  <si>
    <t>Bob Hauze</t>
  </si>
  <si>
    <t>106.</t>
  </si>
  <si>
    <t>Tom Altimare</t>
  </si>
  <si>
    <t>Rob Shannon</t>
  </si>
  <si>
    <t>107.</t>
  </si>
  <si>
    <t>Rich Garrison</t>
  </si>
  <si>
    <t>Mark Schlaffer</t>
  </si>
  <si>
    <t>108.</t>
  </si>
  <si>
    <t>109.</t>
  </si>
  <si>
    <t>Steve Kluemper</t>
  </si>
  <si>
    <t>110.</t>
  </si>
  <si>
    <t>Gordon Bennett</t>
  </si>
  <si>
    <t>111.</t>
  </si>
  <si>
    <t>Wayne Wise</t>
  </si>
  <si>
    <t>112.</t>
  </si>
  <si>
    <t>Steve Summers</t>
  </si>
  <si>
    <t>113.</t>
  </si>
  <si>
    <t>Matt Long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</si>
  <si>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</si>
  <si>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</si>
  <si>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</si>
  <si>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</si>
  <si>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</si>
  <si>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</si>
  <si>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</si>
  <si>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</si>
  <si>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</si>
  <si>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</si>
  <si>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Dave DeYong</t>
  </si>
  <si>
    <t>124.</t>
  </si>
  <si>
    <t>125.</t>
  </si>
  <si>
    <t>126.</t>
  </si>
  <si>
    <t>127.</t>
  </si>
  <si>
    <t>128.</t>
  </si>
  <si>
    <t>Jason Major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</si>
  <si>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</si>
  <si>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</si>
  <si>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</si>
  <si>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</si>
  <si>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</si>
  <si>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</si>
  <si>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</si>
  <si>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</si>
  <si>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</si>
  <si>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</si>
  <si>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</si>
  <si>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</si>
  <si>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</si>
  <si>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</si>
  <si>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</si>
  <si>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</si>
  <si>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</si>
  <si>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</si>
  <si>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</si>
  <si>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LEHIGH VALLEY PLAYER OF THE DECADE</t>
  </si>
  <si>
    <t xml:space="preserve">    2000 - 2009 Total Points Standings</t>
  </si>
  <si>
    <t xml:space="preserve"> of the Year award bonus points)</t>
  </si>
  <si>
    <t>(Includes 50 point Lehigh Valley Player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</si>
</sst>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64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164" fontId="0" fillId="2" borderId="0" xfId="0" applyNumberFormat="1" applyAlignment="1">
      <alignment/>
    </xf>
    <xf numFmtId="0" fontId="3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849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7109375" defaultRowHeight="12.75"/>
  <cols>
    <col min="1" max="1" width="4.7109375" style="0" customWidth="1"/>
    <col min="2" max="2" width="19.7109375" style="0" customWidth="1"/>
    <col min="3" max="3" width="6.7109375" style="0" customWidth="1"/>
    <col min="4" max="4" width="1.7109375" style="0" customWidth="1"/>
    <col min="5" max="5" width="4.7109375" style="0" customWidth="1"/>
    <col min="6" max="6" width="18.7109375" style="0" customWidth="1"/>
    <col min="7" max="7" width="6.7109375" style="0" customWidth="1"/>
    <col min="8" max="8" width="1.7109375" style="0" customWidth="1"/>
    <col min="9" max="9" width="4.7109375" style="0" customWidth="1"/>
    <col min="10" max="10" width="18.7109375" style="0" customWidth="1"/>
    <col min="11" max="11" width="6.7109375" style="0" customWidth="1"/>
    <col min="12" max="12" width="1.7109375" style="0" customWidth="1"/>
    <col min="13" max="13" width="4.7109375" style="0" customWidth="1"/>
    <col min="14" max="14" width="18.7109375" style="0" customWidth="1"/>
    <col min="15" max="15" width="5.7109375" style="0" customWidth="1"/>
    <col min="16" max="16" width="1.7109375" style="0" customWidth="1"/>
    <col min="17" max="17" width="4.7109375" style="0" customWidth="1"/>
    <col min="18" max="18" width="15.7109375" style="0" customWidth="1"/>
    <col min="19" max="19" width="6.7109375" style="0" customWidth="1"/>
    <col min="20" max="20" width="2.7109375" style="0" customWidth="1"/>
    <col min="21" max="21" width="8.7109375" style="0" customWidth="1"/>
  </cols>
  <sheetData>
    <row r="1" ht="30">
      <c r="F1" s="1" t="s">
        <v>0</v>
      </c>
    </row>
    <row r="2" ht="18">
      <c r="F2" s="2" t="s">
        <v>1</v>
      </c>
    </row>
    <row r="3" spans="1:54" ht="12.75">
      <c r="A3" s="11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 t="s">
        <v>453</v>
      </c>
      <c r="R4" s="5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2:17" ht="15.75">
      <c r="B5" s="8" t="s">
        <v>2</v>
      </c>
      <c r="F5" s="8" t="s">
        <v>3</v>
      </c>
      <c r="J5" s="8" t="s">
        <v>4</v>
      </c>
      <c r="N5" s="8" t="s">
        <v>5</v>
      </c>
      <c r="Q5" s="5" t="s">
        <v>454</v>
      </c>
    </row>
    <row r="6" spans="1:17" ht="15">
      <c r="A6" s="9" t="s">
        <v>6</v>
      </c>
      <c r="B6" s="6" t="s">
        <v>7</v>
      </c>
      <c r="C6" s="3">
        <f>5+24+18+12+9+10.5+18+12+24+12+24+12</f>
        <v>180.5</v>
      </c>
      <c r="D6" s="4"/>
      <c r="E6" s="9" t="s">
        <v>6</v>
      </c>
      <c r="F6" s="6" t="s">
        <v>7</v>
      </c>
      <c r="G6" s="3">
        <f>5+24+14+5.5+6+12+12+1+6+1+1+5+24+12</f>
        <v>128.5</v>
      </c>
      <c r="H6" s="4"/>
      <c r="I6" s="9" t="s">
        <v>6</v>
      </c>
      <c r="J6" s="6" t="s">
        <v>8</v>
      </c>
      <c r="K6" s="3">
        <f>13+2+24+9+1.5+6+18+12+6+10.5</f>
        <v>102</v>
      </c>
      <c r="L6" s="4"/>
      <c r="M6" s="9" t="s">
        <v>6</v>
      </c>
      <c r="N6" s="6" t="s">
        <v>9</v>
      </c>
      <c r="O6" s="3">
        <f>6+24+7+12+12+0.5+11+8</f>
        <v>80.5</v>
      </c>
      <c r="Q6" s="5" t="s">
        <v>456</v>
      </c>
    </row>
    <row r="7" spans="1:19" ht="14.25">
      <c r="A7" s="9" t="s">
        <v>10</v>
      </c>
      <c r="B7" s="4" t="s">
        <v>11</v>
      </c>
      <c r="C7" s="3">
        <f>4+1.5+14+9+24+6+7.5+2+10.5+6</f>
        <v>84.5</v>
      </c>
      <c r="D7" s="4"/>
      <c r="E7" s="9" t="s">
        <v>10</v>
      </c>
      <c r="F7" s="4" t="s">
        <v>12</v>
      </c>
      <c r="G7" s="3">
        <f>12+12+24+12+18+12+8</f>
        <v>98</v>
      </c>
      <c r="H7" s="4"/>
      <c r="I7" s="9" t="s">
        <v>10</v>
      </c>
      <c r="J7" s="4" t="s">
        <v>13</v>
      </c>
      <c r="K7" s="3">
        <f>12+13+12+12+7+1</f>
        <v>57</v>
      </c>
      <c r="L7" s="4"/>
      <c r="M7" s="9" t="s">
        <v>10</v>
      </c>
      <c r="N7" s="4" t="s">
        <v>14</v>
      </c>
      <c r="O7" s="3">
        <f>8+10+1+24+14</f>
        <v>57</v>
      </c>
      <c r="Q7" s="5" t="s">
        <v>455</v>
      </c>
      <c r="S7" s="7"/>
    </row>
    <row r="8" spans="1:21" ht="15">
      <c r="A8" s="9" t="s">
        <v>15</v>
      </c>
      <c r="B8" s="4" t="s">
        <v>16</v>
      </c>
      <c r="C8" s="3">
        <f>0.5+10.5+1+2+0.5+7.5+7+10.5+14+14</f>
        <v>67.5</v>
      </c>
      <c r="D8" s="4"/>
      <c r="E8" s="9" t="s">
        <v>15</v>
      </c>
      <c r="F8" s="4" t="s">
        <v>17</v>
      </c>
      <c r="G8" s="3">
        <f>5+2+3+6+12+24+12+3</f>
        <v>67</v>
      </c>
      <c r="H8" s="4"/>
      <c r="I8" s="9" t="s">
        <v>15</v>
      </c>
      <c r="J8" s="4" t="s">
        <v>18</v>
      </c>
      <c r="K8" s="3">
        <f>11+6+24</f>
        <v>41</v>
      </c>
      <c r="L8" s="4"/>
      <c r="M8" s="9" t="s">
        <v>15</v>
      </c>
      <c r="N8" s="4" t="s">
        <v>19</v>
      </c>
      <c r="O8" s="3">
        <f>12+3+6+5.5+4.5</f>
        <v>31</v>
      </c>
      <c r="Q8" s="4" t="s">
        <v>20</v>
      </c>
      <c r="R8" s="6" t="s">
        <v>11</v>
      </c>
      <c r="S8" s="3">
        <f>50+50+1+15+17.5+23.5+91+178+84.5+10</f>
        <v>520.5</v>
      </c>
      <c r="U8" s="4"/>
    </row>
    <row r="9" spans="1:21" ht="14.25">
      <c r="A9" s="9" t="s">
        <v>21</v>
      </c>
      <c r="B9" s="4" t="s">
        <v>22</v>
      </c>
      <c r="C9" s="3">
        <f>3+2.5+4.5+18+0.5+9+9+1+1+2+2+5+5+1</f>
        <v>63.5</v>
      </c>
      <c r="D9" s="4"/>
      <c r="E9" s="9" t="s">
        <v>21</v>
      </c>
      <c r="F9" s="4" t="s">
        <v>16</v>
      </c>
      <c r="G9" s="3">
        <f>7+2+2+14+3.5+7+9</f>
        <v>44.5</v>
      </c>
      <c r="H9" s="4"/>
      <c r="I9" s="9" t="s">
        <v>21</v>
      </c>
      <c r="J9" s="4" t="s">
        <v>23</v>
      </c>
      <c r="K9" s="3">
        <f>5+6+14+0.5+12</f>
        <v>37.5</v>
      </c>
      <c r="L9" s="4"/>
      <c r="M9" s="9" t="s">
        <v>21</v>
      </c>
      <c r="N9" s="4" t="s">
        <v>24</v>
      </c>
      <c r="O9" s="3">
        <f>1+24+1.5+2</f>
        <v>28.5</v>
      </c>
      <c r="Q9" s="4" t="s">
        <v>25</v>
      </c>
      <c r="R9" s="4" t="s">
        <v>7</v>
      </c>
      <c r="S9" s="3">
        <f>50+50+0+0+16.5+3+12.5+180.5+128.5</f>
        <v>441</v>
      </c>
      <c r="U9" s="4"/>
    </row>
    <row r="10" spans="1:21" ht="14.25">
      <c r="A10" s="9" t="s">
        <v>26</v>
      </c>
      <c r="B10" s="4" t="s">
        <v>14</v>
      </c>
      <c r="C10" s="3">
        <f>7.5+13+18+9+0.5+3</f>
        <v>51</v>
      </c>
      <c r="D10" s="4"/>
      <c r="E10" s="9" t="s">
        <v>26</v>
      </c>
      <c r="F10" s="4" t="s">
        <v>27</v>
      </c>
      <c r="G10" s="3">
        <v>36</v>
      </c>
      <c r="H10" s="4"/>
      <c r="I10" s="9" t="s">
        <v>26</v>
      </c>
      <c r="J10" s="4" t="s">
        <v>14</v>
      </c>
      <c r="K10" s="3">
        <f>24+0.5+6+1+5</f>
        <v>36.5</v>
      </c>
      <c r="L10" s="4"/>
      <c r="M10" s="9" t="s">
        <v>26</v>
      </c>
      <c r="N10" s="4" t="s">
        <v>17</v>
      </c>
      <c r="O10" s="3">
        <f>7+6+7+1+5</f>
        <v>26</v>
      </c>
      <c r="Q10" s="4" t="s">
        <v>28</v>
      </c>
      <c r="R10" s="4" t="s">
        <v>19</v>
      </c>
      <c r="S10" s="3">
        <f>50+18+43.5+46.5+19.5+31+42.5+30+25+23.5+31</f>
        <v>360.5</v>
      </c>
      <c r="U10" s="4"/>
    </row>
    <row r="11" spans="1:21" ht="14.25">
      <c r="A11" s="9" t="s">
        <v>29</v>
      </c>
      <c r="B11" s="4" t="s">
        <v>12</v>
      </c>
      <c r="C11" s="3">
        <f>18+11+7.5+7.5+3</f>
        <v>47</v>
      </c>
      <c r="D11" s="4"/>
      <c r="E11" s="9" t="s">
        <v>29</v>
      </c>
      <c r="F11" s="4" t="s">
        <v>22</v>
      </c>
      <c r="G11" s="3">
        <f>2.5+7.5+5+14+1+0.5</f>
        <v>30.5</v>
      </c>
      <c r="H11" s="4"/>
      <c r="I11" s="9" t="s">
        <v>29</v>
      </c>
      <c r="J11" s="4" t="s">
        <v>16</v>
      </c>
      <c r="K11" s="3">
        <f>1.5+9+4+3+3+10.5+1+4</f>
        <v>36</v>
      </c>
      <c r="L11" s="4"/>
      <c r="M11" s="9" t="s">
        <v>29</v>
      </c>
      <c r="N11" s="4" t="s">
        <v>30</v>
      </c>
      <c r="O11" s="3">
        <f>1+8+3.5+2.5+2+8</f>
        <v>25</v>
      </c>
      <c r="Q11" s="4" t="s">
        <v>31</v>
      </c>
      <c r="R11" s="4" t="s">
        <v>17</v>
      </c>
      <c r="S11" s="3">
        <f>50+9+5+29+57+57.5+13.5+23.5+67+3+26</f>
        <v>340.5</v>
      </c>
      <c r="U11" s="4"/>
    </row>
    <row r="12" spans="1:21" ht="14.25">
      <c r="A12" s="9" t="s">
        <v>32</v>
      </c>
      <c r="B12" s="4" t="s">
        <v>33</v>
      </c>
      <c r="C12" s="3">
        <f>0.5+18+1+11+1+5</f>
        <v>36.5</v>
      </c>
      <c r="D12" s="4"/>
      <c r="E12" s="9" t="s">
        <v>32</v>
      </c>
      <c r="F12" s="4" t="s">
        <v>19</v>
      </c>
      <c r="G12" s="3">
        <f>5+7+7+1+5</f>
        <v>25</v>
      </c>
      <c r="H12" s="4"/>
      <c r="I12" s="9" t="s">
        <v>32</v>
      </c>
      <c r="J12" s="4" t="s">
        <v>9</v>
      </c>
      <c r="K12" s="3">
        <f>24+1</f>
        <v>25</v>
      </c>
      <c r="L12" s="4"/>
      <c r="M12" s="9" t="s">
        <v>32</v>
      </c>
      <c r="N12" s="4" t="s">
        <v>34</v>
      </c>
      <c r="O12" s="3">
        <v>24</v>
      </c>
      <c r="Q12" s="4" t="s">
        <v>35</v>
      </c>
      <c r="R12" s="4" t="s">
        <v>16</v>
      </c>
      <c r="S12" s="3">
        <f>9+5.5+34.5+47+32.5+34+67.5+44.5+36+6.5</f>
        <v>317</v>
      </c>
      <c r="U12" s="4"/>
    </row>
    <row r="13" spans="1:21" ht="14.25">
      <c r="A13" s="9" t="s">
        <v>36</v>
      </c>
      <c r="B13" s="4" t="s">
        <v>27</v>
      </c>
      <c r="C13" s="3">
        <f>15+6+10.5</f>
        <v>31.5</v>
      </c>
      <c r="D13" s="4"/>
      <c r="E13" s="9" t="s">
        <v>36</v>
      </c>
      <c r="F13" s="4" t="s">
        <v>23</v>
      </c>
      <c r="G13" s="3">
        <f>11+1+12</f>
        <v>24</v>
      </c>
      <c r="H13" s="4"/>
      <c r="I13" s="9" t="s">
        <v>36</v>
      </c>
      <c r="J13" s="4" t="s">
        <v>19</v>
      </c>
      <c r="K13" s="3">
        <f>7+2.5+3+11</f>
        <v>23.5</v>
      </c>
      <c r="L13" s="4"/>
      <c r="M13" s="9" t="s">
        <v>36</v>
      </c>
      <c r="N13" s="4" t="s">
        <v>37</v>
      </c>
      <c r="O13" s="3">
        <f>2+1.5+13+2.5+1+1.5</f>
        <v>21.5</v>
      </c>
      <c r="Q13" s="4" t="s">
        <v>38</v>
      </c>
      <c r="R13" s="4" t="s">
        <v>39</v>
      </c>
      <c r="S13" s="3">
        <f>27+14+12+0.5+65+47+63.5+30.5+5.5+20</f>
        <v>285</v>
      </c>
      <c r="U13" s="4"/>
    </row>
    <row r="14" spans="1:21" ht="14.25">
      <c r="A14" s="9" t="s">
        <v>40</v>
      </c>
      <c r="B14" s="4" t="s">
        <v>19</v>
      </c>
      <c r="C14" s="3">
        <f>2+5+2+8+5+8</f>
        <v>30</v>
      </c>
      <c r="D14" s="4"/>
      <c r="E14" s="9" t="s">
        <v>40</v>
      </c>
      <c r="F14" s="4" t="s">
        <v>41</v>
      </c>
      <c r="G14" s="3">
        <f>2+5+14</f>
        <v>21</v>
      </c>
      <c r="H14" s="4"/>
      <c r="I14" s="9" t="s">
        <v>40</v>
      </c>
      <c r="J14" s="4" t="s">
        <v>41</v>
      </c>
      <c r="K14" s="3">
        <f>2+5+14</f>
        <v>21</v>
      </c>
      <c r="L14" s="4"/>
      <c r="M14" s="9" t="s">
        <v>40</v>
      </c>
      <c r="N14" s="4" t="s">
        <v>42</v>
      </c>
      <c r="O14" s="3">
        <f>1+10+10</f>
        <v>21</v>
      </c>
      <c r="Q14" s="4" t="s">
        <v>43</v>
      </c>
      <c r="R14" s="4" t="s">
        <v>44</v>
      </c>
      <c r="S14" s="3">
        <f>0+0+0+16.5+30+55.5+51+12+36.5+57</f>
        <v>258.5</v>
      </c>
      <c r="U14" s="4"/>
    </row>
    <row r="15" spans="1:21" ht="14.25">
      <c r="A15" s="9" t="s">
        <v>45</v>
      </c>
      <c r="B15" s="4" t="s">
        <v>46</v>
      </c>
      <c r="C15" s="3">
        <f>8.5+18</f>
        <v>26.5</v>
      </c>
      <c r="D15" s="4"/>
      <c r="E15" s="9" t="s">
        <v>45</v>
      </c>
      <c r="F15" s="4" t="s">
        <v>13</v>
      </c>
      <c r="G15" s="3">
        <f>6+10+1+2</f>
        <v>19</v>
      </c>
      <c r="H15" s="4"/>
      <c r="I15" s="9" t="s">
        <v>45</v>
      </c>
      <c r="J15" s="4" t="s">
        <v>27</v>
      </c>
      <c r="K15" s="3">
        <f>6+13.5</f>
        <v>19.5</v>
      </c>
      <c r="L15" s="4"/>
      <c r="M15" s="9" t="s">
        <v>45</v>
      </c>
      <c r="N15" s="4" t="s">
        <v>39</v>
      </c>
      <c r="O15" s="3">
        <f>5+5+5+5</f>
        <v>20</v>
      </c>
      <c r="Q15" s="4" t="s">
        <v>47</v>
      </c>
      <c r="R15" s="4" t="s">
        <v>12</v>
      </c>
      <c r="S15" s="3">
        <f>0+0+0+0+0+39+47+98+7+3</f>
        <v>194</v>
      </c>
      <c r="U15" s="4"/>
    </row>
    <row r="16" spans="1:21" ht="14.25">
      <c r="A16" s="9" t="s">
        <v>48</v>
      </c>
      <c r="B16" s="4" t="s">
        <v>49</v>
      </c>
      <c r="C16" s="3">
        <f>7.5+6+9+2</f>
        <v>24.5</v>
      </c>
      <c r="D16" s="4"/>
      <c r="E16" s="9" t="s">
        <v>48</v>
      </c>
      <c r="F16" s="4" t="s">
        <v>34</v>
      </c>
      <c r="G16" s="3">
        <f>5.5+2+10</f>
        <v>17.5</v>
      </c>
      <c r="H16" s="4"/>
      <c r="I16" s="9" t="s">
        <v>48</v>
      </c>
      <c r="J16" s="4" t="s">
        <v>49</v>
      </c>
      <c r="K16" s="3">
        <f>7+9+2</f>
        <v>18</v>
      </c>
      <c r="L16" s="4"/>
      <c r="M16" s="9" t="s">
        <v>48</v>
      </c>
      <c r="N16" s="4" t="s">
        <v>50</v>
      </c>
      <c r="O16" s="3">
        <f>12+7.5</f>
        <v>19.5</v>
      </c>
      <c r="Q16" s="4" t="s">
        <v>51</v>
      </c>
      <c r="R16" s="4" t="s">
        <v>8</v>
      </c>
      <c r="S16" s="3">
        <f>50+0+2+0+0+10.5+4+19+102+6</f>
        <v>193.5</v>
      </c>
      <c r="U16" s="4"/>
    </row>
    <row r="17" spans="1:21" ht="14.25">
      <c r="A17" s="9" t="s">
        <v>52</v>
      </c>
      <c r="B17" s="4" t="s">
        <v>17</v>
      </c>
      <c r="C17" s="3">
        <f>1+4+6+5+6+0.5+1</f>
        <v>23.5</v>
      </c>
      <c r="D17" s="4"/>
      <c r="E17" s="9" t="s">
        <v>52</v>
      </c>
      <c r="F17" s="4" t="s">
        <v>30</v>
      </c>
      <c r="G17" s="3">
        <f>12+2</f>
        <v>14</v>
      </c>
      <c r="H17" s="4"/>
      <c r="I17" s="9" t="s">
        <v>52</v>
      </c>
      <c r="J17" s="4" t="s">
        <v>24</v>
      </c>
      <c r="K17" s="3">
        <f>1+1+5.5+1+7</f>
        <v>15.5</v>
      </c>
      <c r="L17" s="4"/>
      <c r="M17" s="4"/>
      <c r="N17" s="4" t="s">
        <v>53</v>
      </c>
      <c r="O17" s="3">
        <f>0.5+0.5+18+0.5</f>
        <v>19.5</v>
      </c>
      <c r="Q17" s="4" t="s">
        <v>54</v>
      </c>
      <c r="R17" s="4" t="s">
        <v>30</v>
      </c>
      <c r="S17" s="3">
        <f>0+9+22+34.5+30+10.5+11+14+12+25</f>
        <v>168</v>
      </c>
      <c r="U17" s="4"/>
    </row>
    <row r="18" spans="1:21" ht="14.25">
      <c r="A18" s="9" t="s">
        <v>55</v>
      </c>
      <c r="B18" s="4" t="s">
        <v>18</v>
      </c>
      <c r="C18" s="3">
        <f>2+3+1+1+2+12</f>
        <v>21</v>
      </c>
      <c r="D18" s="4"/>
      <c r="E18" s="9" t="s">
        <v>55</v>
      </c>
      <c r="F18" s="4" t="s">
        <v>14</v>
      </c>
      <c r="G18" s="3">
        <f>6+5+1</f>
        <v>12</v>
      </c>
      <c r="H18" s="4"/>
      <c r="I18" s="9" t="s">
        <v>55</v>
      </c>
      <c r="J18" s="4" t="s">
        <v>56</v>
      </c>
      <c r="K18" s="3">
        <f>0.5+1+1+0.5+12+0.5</f>
        <v>15.5</v>
      </c>
      <c r="L18" s="4"/>
      <c r="M18" s="9" t="s">
        <v>55</v>
      </c>
      <c r="N18" s="4" t="s">
        <v>18</v>
      </c>
      <c r="O18" s="3">
        <f>10+1.5+5</f>
        <v>16.5</v>
      </c>
      <c r="Q18" s="4" t="s">
        <v>57</v>
      </c>
      <c r="R18" s="4" t="s">
        <v>58</v>
      </c>
      <c r="S18" s="3">
        <f>50+46+11+60.5</f>
        <v>167.5</v>
      </c>
      <c r="U18" s="4"/>
    </row>
    <row r="19" spans="1:21" ht="14.25">
      <c r="A19" s="9" t="s">
        <v>59</v>
      </c>
      <c r="B19" s="4" t="s">
        <v>8</v>
      </c>
      <c r="C19" s="3">
        <f>13+6</f>
        <v>19</v>
      </c>
      <c r="D19" s="4"/>
      <c r="E19" s="9" t="s">
        <v>59</v>
      </c>
      <c r="F19" s="4" t="s">
        <v>9</v>
      </c>
      <c r="G19" s="3">
        <v>11</v>
      </c>
      <c r="H19" s="4"/>
      <c r="I19" s="9" t="s">
        <v>59</v>
      </c>
      <c r="J19" s="4" t="s">
        <v>60</v>
      </c>
      <c r="K19" s="3">
        <f>4+0.5+0.5+9</f>
        <v>14</v>
      </c>
      <c r="L19" s="4"/>
      <c r="M19" s="9" t="s">
        <v>59</v>
      </c>
      <c r="N19" s="4" t="s">
        <v>46</v>
      </c>
      <c r="O19" s="3">
        <f>5+3.5+0.5+5+2</f>
        <v>16</v>
      </c>
      <c r="Q19" s="4" t="s">
        <v>61</v>
      </c>
      <c r="R19" s="4" t="s">
        <v>9</v>
      </c>
      <c r="S19" s="3">
        <f>11+25+80.5+50</f>
        <v>166.5</v>
      </c>
      <c r="U19" s="4"/>
    </row>
    <row r="20" spans="1:21" ht="14.25">
      <c r="A20" s="9" t="s">
        <v>62</v>
      </c>
      <c r="B20" s="4" t="s">
        <v>63</v>
      </c>
      <c r="C20" s="3">
        <f>2+1+1+10</f>
        <v>14</v>
      </c>
      <c r="D20" s="4"/>
      <c r="E20" s="9" t="s">
        <v>62</v>
      </c>
      <c r="F20" s="4" t="s">
        <v>64</v>
      </c>
      <c r="G20" s="3">
        <v>11</v>
      </c>
      <c r="H20" s="4"/>
      <c r="I20" s="9" t="s">
        <v>62</v>
      </c>
      <c r="J20" s="4" t="s">
        <v>65</v>
      </c>
      <c r="K20" s="3">
        <v>14</v>
      </c>
      <c r="L20" s="4"/>
      <c r="M20" s="9" t="s">
        <v>62</v>
      </c>
      <c r="N20" s="4" t="s">
        <v>66</v>
      </c>
      <c r="O20" s="3">
        <f>1+0.5+10+4</f>
        <v>15.5</v>
      </c>
      <c r="Q20" s="4" t="s">
        <v>67</v>
      </c>
      <c r="R20" s="4" t="s">
        <v>18</v>
      </c>
      <c r="S20" s="3">
        <f>8.5+9+23+3.5+6+24.5+21+4.5+41+16.5</f>
        <v>157.5</v>
      </c>
      <c r="U20" s="4"/>
    </row>
    <row r="21" spans="1:21" ht="14.25">
      <c r="A21" s="4"/>
      <c r="B21" s="4" t="s">
        <v>68</v>
      </c>
      <c r="C21" s="3">
        <f>3+2+4.5+0.5+2+0.5+1.5</f>
        <v>14</v>
      </c>
      <c r="D21" s="4"/>
      <c r="E21" s="9" t="s">
        <v>69</v>
      </c>
      <c r="F21" s="4" t="s">
        <v>70</v>
      </c>
      <c r="G21" s="3">
        <v>11</v>
      </c>
      <c r="H21" s="4"/>
      <c r="I21" s="9" t="s">
        <v>69</v>
      </c>
      <c r="J21" s="4" t="s">
        <v>34</v>
      </c>
      <c r="K21" s="3">
        <f>7+1+5</f>
        <v>13</v>
      </c>
      <c r="L21" s="4"/>
      <c r="M21" s="9" t="s">
        <v>69</v>
      </c>
      <c r="N21" s="4" t="s">
        <v>49</v>
      </c>
      <c r="O21" s="3">
        <f>13+2</f>
        <v>15</v>
      </c>
      <c r="Q21" s="4" t="s">
        <v>71</v>
      </c>
      <c r="R21" s="4" t="s">
        <v>46</v>
      </c>
      <c r="S21" s="3">
        <f>6.5+6+0+1.5+54+19.5+26.5+11+4+16</f>
        <v>145</v>
      </c>
      <c r="U21" s="4"/>
    </row>
    <row r="22" spans="1:21" ht="14.25">
      <c r="A22" s="9" t="s">
        <v>72</v>
      </c>
      <c r="B22" s="4" t="s">
        <v>13</v>
      </c>
      <c r="C22" s="3">
        <f>10.5+3</f>
        <v>13.5</v>
      </c>
      <c r="D22" s="4"/>
      <c r="E22" s="9" t="s">
        <v>72</v>
      </c>
      <c r="F22" s="4" t="s">
        <v>73</v>
      </c>
      <c r="G22" s="3">
        <f>5+6</f>
        <v>11</v>
      </c>
      <c r="H22" s="4"/>
      <c r="I22" s="9" t="s">
        <v>72</v>
      </c>
      <c r="J22" s="4" t="s">
        <v>74</v>
      </c>
      <c r="K22" s="3">
        <f>1+11</f>
        <v>12</v>
      </c>
      <c r="L22" s="4"/>
      <c r="M22" s="9" t="s">
        <v>72</v>
      </c>
      <c r="N22" s="4" t="s">
        <v>75</v>
      </c>
      <c r="O22" s="3">
        <f>2+0.5+12</f>
        <v>14.5</v>
      </c>
      <c r="Q22" s="4" t="s">
        <v>76</v>
      </c>
      <c r="R22" s="4" t="s">
        <v>49</v>
      </c>
      <c r="S22" s="3">
        <f>16.5+0+14+18+9.5+3.5+24.5+8+18+15</f>
        <v>127</v>
      </c>
      <c r="U22" s="4"/>
    </row>
    <row r="23" spans="1:21" ht="14.25">
      <c r="A23" s="9" t="s">
        <v>77</v>
      </c>
      <c r="B23" s="4" t="s">
        <v>65</v>
      </c>
      <c r="C23" s="3">
        <v>11</v>
      </c>
      <c r="D23" s="4"/>
      <c r="E23" s="9" t="s">
        <v>77</v>
      </c>
      <c r="F23" s="4" t="s">
        <v>46</v>
      </c>
      <c r="G23" s="3">
        <f>5+3.5+2.5</f>
        <v>11</v>
      </c>
      <c r="H23" s="4"/>
      <c r="I23" s="9" t="s">
        <v>77</v>
      </c>
      <c r="J23" s="4" t="s">
        <v>78</v>
      </c>
      <c r="K23" s="3">
        <f>5+1.5+0.5+5</f>
        <v>12</v>
      </c>
      <c r="L23" s="4"/>
      <c r="M23" s="9" t="s">
        <v>77</v>
      </c>
      <c r="N23" s="4" t="s">
        <v>64</v>
      </c>
      <c r="O23" s="3">
        <v>14</v>
      </c>
      <c r="Q23" s="4" t="s">
        <v>79</v>
      </c>
      <c r="R23" s="4" t="s">
        <v>80</v>
      </c>
      <c r="S23" s="3">
        <f>50+76</f>
        <v>126</v>
      </c>
      <c r="U23" s="4"/>
    </row>
    <row r="24" spans="1:21" ht="14.25">
      <c r="A24" s="4"/>
      <c r="B24" s="4" t="s">
        <v>81</v>
      </c>
      <c r="C24" s="3">
        <v>11</v>
      </c>
      <c r="D24" s="4"/>
      <c r="E24" s="9" t="s">
        <v>82</v>
      </c>
      <c r="F24" s="4" t="s">
        <v>83</v>
      </c>
      <c r="G24" s="3">
        <v>10.5</v>
      </c>
      <c r="H24" s="4"/>
      <c r="I24" s="9" t="s">
        <v>82</v>
      </c>
      <c r="J24" s="4" t="s">
        <v>30</v>
      </c>
      <c r="K24" s="3">
        <f>6+1+5</f>
        <v>12</v>
      </c>
      <c r="L24" s="4"/>
      <c r="M24" s="9" t="s">
        <v>82</v>
      </c>
      <c r="N24" s="4" t="s">
        <v>84</v>
      </c>
      <c r="O24" s="3">
        <f>10+3</f>
        <v>13</v>
      </c>
      <c r="Q24" s="4" t="s">
        <v>85</v>
      </c>
      <c r="R24" s="4" t="s">
        <v>27</v>
      </c>
      <c r="S24" s="3">
        <f>0+9.5+8.5+2.5+1+0.5+31.5+36+19.5+7</f>
        <v>116</v>
      </c>
      <c r="U24" s="4"/>
    </row>
    <row r="25" spans="1:21" ht="14.25">
      <c r="A25" s="4"/>
      <c r="B25" s="4" t="s">
        <v>30</v>
      </c>
      <c r="C25" s="3">
        <f>2+2+2+5</f>
        <v>11</v>
      </c>
      <c r="D25" s="4"/>
      <c r="E25" s="9" t="s">
        <v>86</v>
      </c>
      <c r="F25" s="4" t="s">
        <v>87</v>
      </c>
      <c r="G25" s="3">
        <f>3+2+5+0.5</f>
        <v>10.5</v>
      </c>
      <c r="H25" s="4"/>
      <c r="I25" s="9" t="s">
        <v>86</v>
      </c>
      <c r="J25" s="4" t="s">
        <v>88</v>
      </c>
      <c r="K25" s="3">
        <f>11+1</f>
        <v>12</v>
      </c>
      <c r="L25" s="4"/>
      <c r="M25" s="9" t="s">
        <v>86</v>
      </c>
      <c r="N25" s="4" t="s">
        <v>89</v>
      </c>
      <c r="O25" s="3">
        <f>1+6.5+4+1</f>
        <v>12.5</v>
      </c>
      <c r="Q25" s="4" t="s">
        <v>90</v>
      </c>
      <c r="R25" s="4" t="s">
        <v>24</v>
      </c>
      <c r="S25" s="3">
        <f>0+7.5+14+20+22+0+5+15.5+28.5</f>
        <v>112.5</v>
      </c>
      <c r="U25" s="4"/>
    </row>
    <row r="26" spans="1:21" ht="14.25">
      <c r="A26" s="9" t="s">
        <v>91</v>
      </c>
      <c r="B26" s="4" t="s">
        <v>92</v>
      </c>
      <c r="C26" s="3">
        <v>10</v>
      </c>
      <c r="D26" s="4"/>
      <c r="E26" s="9" t="s">
        <v>91</v>
      </c>
      <c r="F26" s="4" t="s">
        <v>11</v>
      </c>
      <c r="G26" s="3">
        <v>10</v>
      </c>
      <c r="H26" s="4"/>
      <c r="I26" s="9" t="s">
        <v>91</v>
      </c>
      <c r="J26" s="4" t="s">
        <v>93</v>
      </c>
      <c r="K26" s="3">
        <f>4.5+5+2</f>
        <v>11.5</v>
      </c>
      <c r="L26" s="4"/>
      <c r="M26" s="4"/>
      <c r="N26" s="4" t="s">
        <v>41</v>
      </c>
      <c r="O26" s="3">
        <f>3+6+2+1.5</f>
        <v>12.5</v>
      </c>
      <c r="Q26" s="4" t="s">
        <v>94</v>
      </c>
      <c r="R26" s="4" t="s">
        <v>13</v>
      </c>
      <c r="S26" s="3">
        <f>0+2+7+7+1.5+0+13.5+19+57+0.5</f>
        <v>107.5</v>
      </c>
      <c r="U26" s="4"/>
    </row>
    <row r="27" spans="1:21" ht="14.25">
      <c r="A27" s="4"/>
      <c r="B27" s="4" t="s">
        <v>95</v>
      </c>
      <c r="C27" s="3">
        <f>1+5+3+1</f>
        <v>10</v>
      </c>
      <c r="D27" s="4"/>
      <c r="E27" s="9" t="s">
        <v>96</v>
      </c>
      <c r="F27" s="4" t="s">
        <v>33</v>
      </c>
      <c r="G27" s="3">
        <f>3+4+2</f>
        <v>9</v>
      </c>
      <c r="H27" s="4"/>
      <c r="I27" s="9" t="s">
        <v>96</v>
      </c>
      <c r="J27" s="4" t="s">
        <v>64</v>
      </c>
      <c r="K27" s="3">
        <v>11</v>
      </c>
      <c r="L27" s="4"/>
      <c r="M27" s="4"/>
      <c r="N27" s="4" t="s">
        <v>87</v>
      </c>
      <c r="O27" s="3">
        <f>3+2.5+1+1+5</f>
        <v>12.5</v>
      </c>
      <c r="Q27" s="4" t="s">
        <v>97</v>
      </c>
      <c r="R27" s="4" t="s">
        <v>93</v>
      </c>
      <c r="S27" s="3">
        <f>6+14.5+5+8+18.5+19+8+11.5+4</f>
        <v>94.5</v>
      </c>
      <c r="U27" s="4"/>
    </row>
    <row r="28" spans="1:21" ht="14.25">
      <c r="A28" s="9" t="s">
        <v>98</v>
      </c>
      <c r="B28" s="4" t="s">
        <v>70</v>
      </c>
      <c r="C28" s="3">
        <f>2+1+6+0.5</f>
        <v>9.5</v>
      </c>
      <c r="D28" s="4"/>
      <c r="E28" s="9" t="s">
        <v>98</v>
      </c>
      <c r="F28" s="4" t="s">
        <v>99</v>
      </c>
      <c r="G28" s="3">
        <f>3+6</f>
        <v>9</v>
      </c>
      <c r="H28" s="4"/>
      <c r="I28" s="9" t="s">
        <v>98</v>
      </c>
      <c r="J28" s="4" t="s">
        <v>73</v>
      </c>
      <c r="K28" s="3">
        <v>11</v>
      </c>
      <c r="L28" s="4"/>
      <c r="M28" s="9" t="s">
        <v>98</v>
      </c>
      <c r="N28" s="4" t="s">
        <v>23</v>
      </c>
      <c r="O28" s="3">
        <f>5+7</f>
        <v>12</v>
      </c>
      <c r="Q28" s="4" t="s">
        <v>100</v>
      </c>
      <c r="R28" s="4" t="s">
        <v>68</v>
      </c>
      <c r="S28" s="3">
        <f>3.5+17.5+8.5+19.5+7+15.5+14+2+3+4</f>
        <v>94.5</v>
      </c>
      <c r="U28" s="4"/>
    </row>
    <row r="29" spans="1:21" ht="14.25">
      <c r="A29" s="9" t="s">
        <v>101</v>
      </c>
      <c r="B29" s="4" t="s">
        <v>102</v>
      </c>
      <c r="C29" s="3">
        <v>8.5</v>
      </c>
      <c r="D29" s="4"/>
      <c r="E29" s="9" t="s">
        <v>101</v>
      </c>
      <c r="F29" s="4" t="s">
        <v>49</v>
      </c>
      <c r="G29" s="3">
        <v>8</v>
      </c>
      <c r="H29" s="4"/>
      <c r="I29" s="9" t="s">
        <v>101</v>
      </c>
      <c r="J29" s="4" t="s">
        <v>103</v>
      </c>
      <c r="K29" s="3">
        <f>1+7</f>
        <v>8</v>
      </c>
      <c r="L29" s="4"/>
      <c r="M29" s="4"/>
      <c r="N29" s="4" t="s">
        <v>56</v>
      </c>
      <c r="O29" s="3">
        <v>12</v>
      </c>
      <c r="Q29" s="4" t="s">
        <v>104</v>
      </c>
      <c r="R29" s="4" t="s">
        <v>34</v>
      </c>
      <c r="S29" s="3">
        <f>21+17+17.5+13+24</f>
        <v>92.5</v>
      </c>
      <c r="U29" s="4"/>
    </row>
    <row r="30" spans="1:21" ht="14.25">
      <c r="A30" s="9" t="s">
        <v>105</v>
      </c>
      <c r="B30" s="4" t="s">
        <v>106</v>
      </c>
      <c r="C30" s="3">
        <v>8</v>
      </c>
      <c r="D30" s="4"/>
      <c r="E30" s="9" t="s">
        <v>105</v>
      </c>
      <c r="F30" s="4" t="s">
        <v>93</v>
      </c>
      <c r="G30" s="3">
        <f>1+2+5</f>
        <v>8</v>
      </c>
      <c r="H30" s="4"/>
      <c r="I30" s="9" t="s">
        <v>105</v>
      </c>
      <c r="J30" s="4" t="s">
        <v>107</v>
      </c>
      <c r="K30" s="3">
        <v>8</v>
      </c>
      <c r="L30" s="4"/>
      <c r="M30" s="9" t="s">
        <v>105</v>
      </c>
      <c r="N30" s="4" t="s">
        <v>108</v>
      </c>
      <c r="O30" s="3">
        <v>11</v>
      </c>
      <c r="Q30" s="4" t="s">
        <v>109</v>
      </c>
      <c r="R30" s="4" t="s">
        <v>70</v>
      </c>
      <c r="S30" s="3">
        <f>0+1.5+1+0+45+24+9.5+11</f>
        <v>92</v>
      </c>
      <c r="U30" s="4"/>
    </row>
    <row r="31" spans="1:21" ht="14.25">
      <c r="A31" s="4"/>
      <c r="B31" s="4" t="s">
        <v>110</v>
      </c>
      <c r="C31" s="3">
        <f>5+3</f>
        <v>8</v>
      </c>
      <c r="D31" s="4"/>
      <c r="E31" s="9" t="s">
        <v>111</v>
      </c>
      <c r="F31" s="4" t="s">
        <v>84</v>
      </c>
      <c r="G31" s="3">
        <f>4.5+3</f>
        <v>7.5</v>
      </c>
      <c r="H31" s="4"/>
      <c r="I31" s="9" t="s">
        <v>111</v>
      </c>
      <c r="J31" s="4" t="s">
        <v>112</v>
      </c>
      <c r="K31" s="3">
        <f>2+6</f>
        <v>8</v>
      </c>
      <c r="L31" s="4"/>
      <c r="M31" s="9" t="s">
        <v>111</v>
      </c>
      <c r="N31" s="4" t="s">
        <v>113</v>
      </c>
      <c r="O31" s="3">
        <f>0.5+10</f>
        <v>10.5</v>
      </c>
      <c r="Q31" s="4" t="s">
        <v>114</v>
      </c>
      <c r="R31" s="4" t="s">
        <v>115</v>
      </c>
      <c r="S31" s="3">
        <f>5+2.5+0+0+76.5</f>
        <v>84</v>
      </c>
      <c r="U31" s="4"/>
    </row>
    <row r="32" spans="1:21" ht="14.25">
      <c r="A32" s="9" t="s">
        <v>116</v>
      </c>
      <c r="B32" s="4" t="s">
        <v>117</v>
      </c>
      <c r="C32" s="3">
        <v>7.5</v>
      </c>
      <c r="D32" s="4"/>
      <c r="E32" s="9" t="s">
        <v>116</v>
      </c>
      <c r="F32" s="4" t="s">
        <v>118</v>
      </c>
      <c r="G32" s="3">
        <f>4.5+2+1</f>
        <v>7.5</v>
      </c>
      <c r="H32" s="4"/>
      <c r="I32" s="9" t="s">
        <v>116</v>
      </c>
      <c r="J32" s="4" t="s">
        <v>12</v>
      </c>
      <c r="K32" s="3">
        <f>6+1</f>
        <v>7</v>
      </c>
      <c r="L32" s="4"/>
      <c r="M32" s="9" t="s">
        <v>116</v>
      </c>
      <c r="N32" s="4" t="s">
        <v>119</v>
      </c>
      <c r="O32" s="3">
        <v>10</v>
      </c>
      <c r="Q32" s="4" t="s">
        <v>120</v>
      </c>
      <c r="R32" s="4" t="s">
        <v>23</v>
      </c>
      <c r="S32" s="3">
        <f>1+4.5+24+37.5+12</f>
        <v>79</v>
      </c>
      <c r="U32" s="4"/>
    </row>
    <row r="33" spans="1:21" ht="14.25">
      <c r="A33" s="9" t="s">
        <v>121</v>
      </c>
      <c r="B33" s="4" t="s">
        <v>99</v>
      </c>
      <c r="C33" s="3">
        <f>1+6</f>
        <v>7</v>
      </c>
      <c r="D33" s="4"/>
      <c r="E33" s="9" t="s">
        <v>121</v>
      </c>
      <c r="F33" s="4" t="s">
        <v>122</v>
      </c>
      <c r="G33" s="3">
        <v>7</v>
      </c>
      <c r="H33" s="4"/>
      <c r="I33" s="9" t="s">
        <v>121</v>
      </c>
      <c r="J33" s="4" t="s">
        <v>123</v>
      </c>
      <c r="K33" s="3">
        <f>5+2</f>
        <v>7</v>
      </c>
      <c r="L33" s="4"/>
      <c r="M33" s="4"/>
      <c r="N33" s="4" t="s">
        <v>103</v>
      </c>
      <c r="O33" s="3">
        <f>1+0.5+0.5+8</f>
        <v>10</v>
      </c>
      <c r="Q33" s="4" t="s">
        <v>124</v>
      </c>
      <c r="R33" s="4" t="s">
        <v>87</v>
      </c>
      <c r="S33" s="3">
        <f>5.5+0+0+15+11.5+4+5+10.5+12+12.5</f>
        <v>76</v>
      </c>
      <c r="U33" s="4"/>
    </row>
    <row r="34" spans="1:21" ht="14.25">
      <c r="A34" s="4"/>
      <c r="B34" s="4" t="s">
        <v>125</v>
      </c>
      <c r="C34" s="3">
        <v>7</v>
      </c>
      <c r="D34" s="4"/>
      <c r="E34" s="9" t="s">
        <v>126</v>
      </c>
      <c r="F34" s="4" t="s">
        <v>127</v>
      </c>
      <c r="G34" s="3">
        <v>7</v>
      </c>
      <c r="H34" s="4"/>
      <c r="I34" s="9" t="s">
        <v>126</v>
      </c>
      <c r="J34" s="4" t="s">
        <v>128</v>
      </c>
      <c r="K34" s="3">
        <f>5+2</f>
        <v>7</v>
      </c>
      <c r="L34" s="4"/>
      <c r="M34" s="9" t="s">
        <v>126</v>
      </c>
      <c r="N34" s="4" t="s">
        <v>129</v>
      </c>
      <c r="O34" s="3">
        <f>6+2</f>
        <v>8</v>
      </c>
      <c r="Q34" s="4" t="s">
        <v>130</v>
      </c>
      <c r="R34" s="4" t="s">
        <v>42</v>
      </c>
      <c r="S34" s="3">
        <f>12+12+0+0+22+0.5+0.5+6.5+21</f>
        <v>74.5</v>
      </c>
      <c r="U34" s="4"/>
    </row>
    <row r="35" spans="1:21" ht="14.25">
      <c r="A35" s="9" t="s">
        <v>131</v>
      </c>
      <c r="B35" s="4" t="s">
        <v>118</v>
      </c>
      <c r="C35" s="3">
        <f>1.5+3+2</f>
        <v>6.5</v>
      </c>
      <c r="D35" s="4"/>
      <c r="E35" s="9" t="s">
        <v>131</v>
      </c>
      <c r="F35" s="4" t="s">
        <v>56</v>
      </c>
      <c r="G35" s="3">
        <f>2.5+0.5+0.5+3</f>
        <v>6.5</v>
      </c>
      <c r="H35" s="4"/>
      <c r="I35" s="9" t="s">
        <v>131</v>
      </c>
      <c r="J35" s="4" t="s">
        <v>42</v>
      </c>
      <c r="K35" s="3">
        <f>3.5+3</f>
        <v>6.5</v>
      </c>
      <c r="L35" s="4"/>
      <c r="M35" s="9" t="s">
        <v>131</v>
      </c>
      <c r="N35" s="4" t="s">
        <v>132</v>
      </c>
      <c r="O35" s="3">
        <f>4+0.5+0.5+1+1</f>
        <v>7</v>
      </c>
      <c r="Q35" s="4" t="s">
        <v>133</v>
      </c>
      <c r="R35" s="4" t="s">
        <v>64</v>
      </c>
      <c r="S35" s="3">
        <f>6.5+0+4+9+15+0+11+11+14</f>
        <v>70.5</v>
      </c>
      <c r="U35" s="4"/>
    </row>
    <row r="36" spans="1:21" ht="14.25">
      <c r="A36" s="9" t="s">
        <v>134</v>
      </c>
      <c r="B36" s="4" t="s">
        <v>135</v>
      </c>
      <c r="C36" s="3">
        <v>6</v>
      </c>
      <c r="D36" s="4"/>
      <c r="E36" s="9" t="s">
        <v>134</v>
      </c>
      <c r="F36" s="4" t="s">
        <v>136</v>
      </c>
      <c r="G36" s="3">
        <v>6</v>
      </c>
      <c r="H36" s="4"/>
      <c r="I36" s="9" t="s">
        <v>134</v>
      </c>
      <c r="J36" s="4" t="s">
        <v>137</v>
      </c>
      <c r="K36" s="3">
        <f>3+0.5+3</f>
        <v>6.5</v>
      </c>
      <c r="L36" s="4"/>
      <c r="M36" s="4"/>
      <c r="N36" s="4" t="s">
        <v>27</v>
      </c>
      <c r="O36" s="3">
        <f>6+1</f>
        <v>7</v>
      </c>
      <c r="Q36" s="4" t="s">
        <v>138</v>
      </c>
      <c r="R36" s="4" t="s">
        <v>95</v>
      </c>
      <c r="S36" s="3">
        <f>4.5+6+3.5+0.5+21+17+10+3+1+2.5</f>
        <v>69</v>
      </c>
      <c r="U36" s="4"/>
    </row>
    <row r="37" spans="1:21" ht="14.25">
      <c r="A37" s="4"/>
      <c r="B37" s="4" t="s">
        <v>139</v>
      </c>
      <c r="C37" s="3">
        <f>1+5</f>
        <v>6</v>
      </c>
      <c r="D37" s="4"/>
      <c r="E37" s="9" t="s">
        <v>140</v>
      </c>
      <c r="F37" s="4" t="s">
        <v>141</v>
      </c>
      <c r="G37" s="3">
        <v>5.5</v>
      </c>
      <c r="H37" s="4"/>
      <c r="I37" s="9" t="s">
        <v>140</v>
      </c>
      <c r="J37" s="4" t="s">
        <v>113</v>
      </c>
      <c r="K37" s="3">
        <v>6</v>
      </c>
      <c r="L37" s="4"/>
      <c r="M37" s="9" t="s">
        <v>140</v>
      </c>
      <c r="N37" s="4" t="s">
        <v>16</v>
      </c>
      <c r="O37" s="3">
        <v>6.5</v>
      </c>
      <c r="Q37" s="4" t="s">
        <v>142</v>
      </c>
      <c r="R37" s="4" t="s">
        <v>41</v>
      </c>
      <c r="S37" s="3">
        <f>2+2+2+2+21+21+12.5</f>
        <v>62.5</v>
      </c>
      <c r="U37" s="4"/>
    </row>
    <row r="38" spans="1:21" ht="14.25">
      <c r="A38" s="9" t="s">
        <v>143</v>
      </c>
      <c r="B38" s="4" t="s">
        <v>144</v>
      </c>
      <c r="C38" s="3">
        <v>5</v>
      </c>
      <c r="D38" s="4"/>
      <c r="E38" s="9" t="s">
        <v>143</v>
      </c>
      <c r="F38" s="4" t="s">
        <v>145</v>
      </c>
      <c r="G38" s="3">
        <f>1+0.5+1+3</f>
        <v>5.5</v>
      </c>
      <c r="H38" s="4"/>
      <c r="I38" s="9" t="s">
        <v>143</v>
      </c>
      <c r="J38" s="4" t="s">
        <v>146</v>
      </c>
      <c r="K38" s="3">
        <v>6</v>
      </c>
      <c r="L38" s="4"/>
      <c r="M38" s="9" t="s">
        <v>143</v>
      </c>
      <c r="N38" s="4" t="s">
        <v>8</v>
      </c>
      <c r="O38" s="3">
        <v>6</v>
      </c>
      <c r="Q38" s="4" t="s">
        <v>147</v>
      </c>
      <c r="R38" s="4" t="s">
        <v>127</v>
      </c>
      <c r="S38" s="3">
        <f>0+0+0+18+18.5+14.5+7</f>
        <v>58</v>
      </c>
      <c r="U38" s="4"/>
    </row>
    <row r="39" spans="1:22" ht="14.25">
      <c r="A39" s="4"/>
      <c r="B39" s="4" t="s">
        <v>145</v>
      </c>
      <c r="C39" s="3">
        <f>1+1+3</f>
        <v>5</v>
      </c>
      <c r="D39" s="4"/>
      <c r="E39" s="9" t="s">
        <v>148</v>
      </c>
      <c r="F39" s="4" t="s">
        <v>149</v>
      </c>
      <c r="G39" s="3">
        <f>1.5+1+3</f>
        <v>5.5</v>
      </c>
      <c r="H39" s="4"/>
      <c r="I39" s="9" t="s">
        <v>148</v>
      </c>
      <c r="J39" s="4" t="s">
        <v>150</v>
      </c>
      <c r="K39" s="3">
        <v>5.5</v>
      </c>
      <c r="L39" s="4"/>
      <c r="M39" s="4"/>
      <c r="N39" s="4" t="s">
        <v>151</v>
      </c>
      <c r="O39" s="3">
        <f>1+2+1+2</f>
        <v>6</v>
      </c>
      <c r="Q39" s="4" t="s">
        <v>152</v>
      </c>
      <c r="R39" s="4" t="s">
        <v>153</v>
      </c>
      <c r="S39" s="3">
        <f>3+6+14+12.5+22</f>
        <v>57.5</v>
      </c>
      <c r="U39" s="4"/>
      <c r="V39" s="3"/>
    </row>
    <row r="40" spans="1:21" ht="14.25">
      <c r="A40" s="4"/>
      <c r="B40" s="4" t="s">
        <v>154</v>
      </c>
      <c r="C40" s="3">
        <v>5</v>
      </c>
      <c r="D40" s="4"/>
      <c r="E40" s="9" t="s">
        <v>155</v>
      </c>
      <c r="F40" s="4" t="s">
        <v>144</v>
      </c>
      <c r="G40" s="3">
        <v>5</v>
      </c>
      <c r="H40" s="4"/>
      <c r="I40" s="9" t="s">
        <v>155</v>
      </c>
      <c r="J40" s="4" t="s">
        <v>37</v>
      </c>
      <c r="K40" s="3">
        <f>3+2.5</f>
        <v>5.5</v>
      </c>
      <c r="L40" s="4"/>
      <c r="M40" s="4"/>
      <c r="N40" s="4" t="s">
        <v>156</v>
      </c>
      <c r="O40" s="3">
        <f>5+1</f>
        <v>6</v>
      </c>
      <c r="Q40" s="4" t="s">
        <v>157</v>
      </c>
      <c r="R40" s="4" t="s">
        <v>84</v>
      </c>
      <c r="S40" s="3">
        <f>0+0+0+0+15+15.5+5+7.5+1+13</f>
        <v>57</v>
      </c>
      <c r="U40" s="4"/>
    </row>
    <row r="41" spans="1:21" ht="14.25">
      <c r="A41" s="4"/>
      <c r="B41" s="4" t="s">
        <v>87</v>
      </c>
      <c r="C41" s="3">
        <f>2+3</f>
        <v>5</v>
      </c>
      <c r="D41" s="4"/>
      <c r="E41" s="9" t="s">
        <v>158</v>
      </c>
      <c r="F41" s="4" t="s">
        <v>159</v>
      </c>
      <c r="G41" s="3">
        <v>5</v>
      </c>
      <c r="H41" s="4"/>
      <c r="I41" s="9" t="s">
        <v>158</v>
      </c>
      <c r="J41" s="4" t="s">
        <v>66</v>
      </c>
      <c r="K41" s="3">
        <f>1+0.5+2+1+1</f>
        <v>5.5</v>
      </c>
      <c r="L41" s="4"/>
      <c r="M41" s="9" t="s">
        <v>158</v>
      </c>
      <c r="N41" s="4" t="s">
        <v>160</v>
      </c>
      <c r="O41" s="3">
        <v>5.5</v>
      </c>
      <c r="Q41" s="4" t="s">
        <v>161</v>
      </c>
      <c r="R41" s="4" t="s">
        <v>33</v>
      </c>
      <c r="S41" s="3">
        <f>4+36.5+9+2</f>
        <v>51.5</v>
      </c>
      <c r="U41" s="4"/>
    </row>
    <row r="42" spans="1:21" ht="14.25">
      <c r="A42" s="4"/>
      <c r="B42" s="4" t="s">
        <v>162</v>
      </c>
      <c r="C42" s="3">
        <f>3+2</f>
        <v>5</v>
      </c>
      <c r="D42" s="4"/>
      <c r="E42" s="9" t="s">
        <v>163</v>
      </c>
      <c r="F42" s="4" t="s">
        <v>164</v>
      </c>
      <c r="G42" s="3">
        <v>5</v>
      </c>
      <c r="H42" s="4"/>
      <c r="I42" s="9" t="s">
        <v>163</v>
      </c>
      <c r="J42" s="4" t="s">
        <v>39</v>
      </c>
      <c r="K42" s="3">
        <v>5.5</v>
      </c>
      <c r="L42" s="4"/>
      <c r="M42" s="4"/>
      <c r="N42" s="4" t="s">
        <v>165</v>
      </c>
      <c r="O42" s="3">
        <f>0.5+5</f>
        <v>5.5</v>
      </c>
      <c r="Q42" s="4" t="s">
        <v>166</v>
      </c>
      <c r="R42" s="4" t="s">
        <v>167</v>
      </c>
      <c r="S42" s="3">
        <f>0+0+0+50.5+0+0</f>
        <v>50.5</v>
      </c>
      <c r="U42" s="4"/>
    </row>
    <row r="43" spans="1:21" ht="14.25">
      <c r="A43" s="9" t="s">
        <v>168</v>
      </c>
      <c r="B43" s="4" t="s">
        <v>84</v>
      </c>
      <c r="C43" s="3">
        <v>4.5</v>
      </c>
      <c r="D43" s="4"/>
      <c r="E43" s="9" t="s">
        <v>168</v>
      </c>
      <c r="F43" s="4" t="s">
        <v>151</v>
      </c>
      <c r="G43" s="3">
        <f>1+2+2</f>
        <v>5</v>
      </c>
      <c r="H43" s="4"/>
      <c r="I43" s="9" t="s">
        <v>168</v>
      </c>
      <c r="J43" s="4" t="s">
        <v>151</v>
      </c>
      <c r="K43" s="3">
        <v>5</v>
      </c>
      <c r="L43" s="4"/>
      <c r="M43" s="9" t="s">
        <v>168</v>
      </c>
      <c r="N43" s="4" t="s">
        <v>169</v>
      </c>
      <c r="O43" s="3">
        <v>4.5</v>
      </c>
      <c r="Q43" s="4" t="s">
        <v>170</v>
      </c>
      <c r="R43" s="4" t="s">
        <v>171</v>
      </c>
      <c r="S43" s="3">
        <f>0+11.5+0+38</f>
        <v>49.5</v>
      </c>
      <c r="U43" s="4"/>
    </row>
    <row r="44" spans="1:21" ht="14.25">
      <c r="A44" s="4"/>
      <c r="B44" s="4" t="s">
        <v>23</v>
      </c>
      <c r="C44" s="3">
        <v>4.5</v>
      </c>
      <c r="D44" s="4"/>
      <c r="E44" s="9" t="s">
        <v>172</v>
      </c>
      <c r="F44" s="4" t="s">
        <v>173</v>
      </c>
      <c r="G44" s="3">
        <v>5</v>
      </c>
      <c r="H44" s="4"/>
      <c r="I44" s="9" t="s">
        <v>172</v>
      </c>
      <c r="J44" s="4" t="s">
        <v>174</v>
      </c>
      <c r="K44" s="3">
        <v>5</v>
      </c>
      <c r="L44" s="4"/>
      <c r="M44" s="9" t="s">
        <v>172</v>
      </c>
      <c r="N44" s="4" t="s">
        <v>93</v>
      </c>
      <c r="O44" s="3">
        <f>2+2</f>
        <v>4</v>
      </c>
      <c r="Q44" s="4" t="s">
        <v>175</v>
      </c>
      <c r="R44" s="4" t="s">
        <v>176</v>
      </c>
      <c r="S44" s="3">
        <f>0+1+8+24+10.5+5</f>
        <v>48.5</v>
      </c>
      <c r="U44" s="4"/>
    </row>
    <row r="45" spans="1:21" ht="14.25">
      <c r="A45" s="4"/>
      <c r="B45" s="4" t="s">
        <v>177</v>
      </c>
      <c r="C45" s="3">
        <f>0.5+4</f>
        <v>4.5</v>
      </c>
      <c r="D45" s="4"/>
      <c r="E45" s="9" t="s">
        <v>178</v>
      </c>
      <c r="F45" s="4" t="s">
        <v>179</v>
      </c>
      <c r="G45" s="3">
        <f>3+2</f>
        <v>5</v>
      </c>
      <c r="H45" s="4"/>
      <c r="I45" s="9" t="s">
        <v>178</v>
      </c>
      <c r="J45" s="4" t="s">
        <v>180</v>
      </c>
      <c r="K45" s="3">
        <v>4.5</v>
      </c>
      <c r="L45" s="4"/>
      <c r="M45" s="4"/>
      <c r="N45" s="4" t="s">
        <v>181</v>
      </c>
      <c r="O45" s="3">
        <v>4</v>
      </c>
      <c r="Q45" s="4" t="s">
        <v>182</v>
      </c>
      <c r="R45" s="4" t="s">
        <v>183</v>
      </c>
      <c r="S45" s="3">
        <f>8+7+18+9+0.5+0+3+2</f>
        <v>47.5</v>
      </c>
      <c r="U45" s="4"/>
    </row>
    <row r="46" spans="1:21" ht="14.25">
      <c r="A46" s="9" t="s">
        <v>184</v>
      </c>
      <c r="B46" s="4" t="s">
        <v>185</v>
      </c>
      <c r="C46" s="3">
        <v>4</v>
      </c>
      <c r="D46" s="4"/>
      <c r="E46" s="9" t="s">
        <v>184</v>
      </c>
      <c r="F46" s="4" t="s">
        <v>24</v>
      </c>
      <c r="G46" s="3">
        <f>3+2</f>
        <v>5</v>
      </c>
      <c r="H46" s="4"/>
      <c r="I46" s="9" t="s">
        <v>184</v>
      </c>
      <c r="J46" s="4" t="s">
        <v>46</v>
      </c>
      <c r="K46" s="3">
        <f>3+1</f>
        <v>4</v>
      </c>
      <c r="L46" s="4"/>
      <c r="M46" s="4"/>
      <c r="N46" s="4" t="s">
        <v>150</v>
      </c>
      <c r="O46" s="3">
        <f>2+2</f>
        <v>4</v>
      </c>
      <c r="Q46" s="4" t="s">
        <v>186</v>
      </c>
      <c r="R46" s="4" t="s">
        <v>53</v>
      </c>
      <c r="S46" s="3">
        <f>8+0+0+2+0+0+6.5+7.5+1+19.5</f>
        <v>44.5</v>
      </c>
      <c r="U46" s="4"/>
    </row>
    <row r="47" spans="1:21" ht="14.25">
      <c r="A47" s="4"/>
      <c r="B47" s="4" t="s">
        <v>187</v>
      </c>
      <c r="C47" s="3">
        <v>4</v>
      </c>
      <c r="D47" s="4"/>
      <c r="E47" s="9" t="s">
        <v>188</v>
      </c>
      <c r="F47" s="4" t="s">
        <v>18</v>
      </c>
      <c r="G47" s="3">
        <f>3.5+1</f>
        <v>4.5</v>
      </c>
      <c r="H47" s="4"/>
      <c r="I47" s="9" t="s">
        <v>188</v>
      </c>
      <c r="J47" s="4" t="s">
        <v>189</v>
      </c>
      <c r="K47" s="3">
        <f>2+2</f>
        <v>4</v>
      </c>
      <c r="L47" s="4"/>
      <c r="M47" s="4"/>
      <c r="N47" s="4" t="s">
        <v>68</v>
      </c>
      <c r="O47" s="3">
        <f>2.5+0.5+1</f>
        <v>4</v>
      </c>
      <c r="Q47" s="4" t="s">
        <v>190</v>
      </c>
      <c r="R47" s="4" t="s">
        <v>151</v>
      </c>
      <c r="S47" s="3">
        <f>0+5.5+0+5+13+0.5+4+5+5+6</f>
        <v>44</v>
      </c>
      <c r="U47" s="4"/>
    </row>
    <row r="48" spans="1:21" ht="14.25">
      <c r="A48" s="4"/>
      <c r="B48" s="4" t="s">
        <v>191</v>
      </c>
      <c r="C48" s="3">
        <f>2+2</f>
        <v>4</v>
      </c>
      <c r="D48" s="4"/>
      <c r="E48" s="9" t="s">
        <v>192</v>
      </c>
      <c r="F48" s="4" t="s">
        <v>106</v>
      </c>
      <c r="G48" s="3">
        <f>1.5+2.5</f>
        <v>4</v>
      </c>
      <c r="H48" s="4"/>
      <c r="I48" s="9" t="s">
        <v>192</v>
      </c>
      <c r="J48" s="4" t="s">
        <v>193</v>
      </c>
      <c r="K48" s="3">
        <f>1+1+1.5</f>
        <v>3.5</v>
      </c>
      <c r="L48" s="4"/>
      <c r="M48" s="4"/>
      <c r="N48" s="4" t="s">
        <v>117</v>
      </c>
      <c r="O48" s="3">
        <f>3+1</f>
        <v>4</v>
      </c>
      <c r="Q48" s="4" t="s">
        <v>194</v>
      </c>
      <c r="R48" s="4" t="s">
        <v>195</v>
      </c>
      <c r="S48" s="3">
        <f>8.5+11+0+0+21+0</f>
        <v>40.5</v>
      </c>
      <c r="U48" s="4"/>
    </row>
    <row r="49" spans="1:21" ht="14.25">
      <c r="A49" s="4"/>
      <c r="B49" s="4" t="s">
        <v>196</v>
      </c>
      <c r="C49" s="3">
        <v>4</v>
      </c>
      <c r="D49" s="4"/>
      <c r="E49" s="9" t="s">
        <v>197</v>
      </c>
      <c r="F49" s="4" t="s">
        <v>198</v>
      </c>
      <c r="G49" s="3">
        <v>4</v>
      </c>
      <c r="H49" s="4"/>
      <c r="I49" s="9" t="s">
        <v>197</v>
      </c>
      <c r="J49" s="4" t="s">
        <v>164</v>
      </c>
      <c r="K49" s="3">
        <v>3</v>
      </c>
      <c r="L49" s="4"/>
      <c r="M49" s="9" t="s">
        <v>197</v>
      </c>
      <c r="N49" s="4" t="s">
        <v>137</v>
      </c>
      <c r="O49" s="3">
        <f>0.5+3</f>
        <v>3.5</v>
      </c>
      <c r="Q49" s="4" t="s">
        <v>199</v>
      </c>
      <c r="R49" s="4" t="s">
        <v>193</v>
      </c>
      <c r="S49" s="3">
        <f>0+24+2.5+0+0+2+1.5+3.5+3.5</f>
        <v>37</v>
      </c>
      <c r="U49" s="4"/>
    </row>
    <row r="50" spans="1:21" ht="14.25">
      <c r="A50" s="4"/>
      <c r="B50" s="4" t="s">
        <v>151</v>
      </c>
      <c r="C50" s="3">
        <f>2+2</f>
        <v>4</v>
      </c>
      <c r="D50" s="4"/>
      <c r="E50" s="9" t="s">
        <v>200</v>
      </c>
      <c r="F50" s="4" t="s">
        <v>201</v>
      </c>
      <c r="G50" s="3">
        <v>3.5</v>
      </c>
      <c r="H50" s="4"/>
      <c r="I50" s="9" t="s">
        <v>200</v>
      </c>
      <c r="J50" s="4" t="s">
        <v>68</v>
      </c>
      <c r="K50" s="3">
        <f>2+1</f>
        <v>3</v>
      </c>
      <c r="L50" s="4"/>
      <c r="M50" s="4"/>
      <c r="N50" s="4" t="s">
        <v>193</v>
      </c>
      <c r="O50" s="3">
        <f>1+1+1.5</f>
        <v>3.5</v>
      </c>
      <c r="Q50" s="4" t="s">
        <v>202</v>
      </c>
      <c r="R50" s="4" t="s">
        <v>185</v>
      </c>
      <c r="S50" s="3">
        <f>0+5.5+5+18+0+4.5+4</f>
        <v>37</v>
      </c>
      <c r="U50" s="4"/>
    </row>
    <row r="51" spans="1:21" ht="14.25">
      <c r="A51" s="4"/>
      <c r="B51" s="4" t="s">
        <v>203</v>
      </c>
      <c r="C51" s="3">
        <v>4</v>
      </c>
      <c r="D51" s="4"/>
      <c r="E51" s="9" t="s">
        <v>204</v>
      </c>
      <c r="F51" s="4" t="s">
        <v>75</v>
      </c>
      <c r="G51" s="3">
        <f>1+1+1</f>
        <v>3</v>
      </c>
      <c r="H51" s="4"/>
      <c r="I51" s="9" t="s">
        <v>204</v>
      </c>
      <c r="J51" s="4" t="s">
        <v>205</v>
      </c>
      <c r="K51" s="3">
        <f>1+2</f>
        <v>3</v>
      </c>
      <c r="L51" s="4"/>
      <c r="M51" s="9" t="s">
        <v>204</v>
      </c>
      <c r="N51" s="4" t="s">
        <v>139</v>
      </c>
      <c r="O51" s="3">
        <f>2+1</f>
        <v>3</v>
      </c>
      <c r="Q51" s="4" t="s">
        <v>206</v>
      </c>
      <c r="R51" s="4" t="s">
        <v>207</v>
      </c>
      <c r="S51" s="3">
        <f>0+23.5+12</f>
        <v>35.5</v>
      </c>
      <c r="U51" s="4"/>
    </row>
    <row r="52" spans="1:21" ht="14.25">
      <c r="A52" s="9" t="s">
        <v>208</v>
      </c>
      <c r="B52" s="4" t="s">
        <v>209</v>
      </c>
      <c r="C52" s="3">
        <f>2+0.5</f>
        <v>2.5</v>
      </c>
      <c r="D52" s="4"/>
      <c r="E52" s="9" t="s">
        <v>208</v>
      </c>
      <c r="F52" s="4" t="s">
        <v>95</v>
      </c>
      <c r="G52" s="3">
        <f>1.5+0.5+1</f>
        <v>3</v>
      </c>
      <c r="H52" s="4"/>
      <c r="I52" s="9" t="s">
        <v>208</v>
      </c>
      <c r="J52" s="4" t="s">
        <v>17</v>
      </c>
      <c r="K52" s="3">
        <v>3</v>
      </c>
      <c r="L52" s="4"/>
      <c r="M52" s="4"/>
      <c r="N52" s="4" t="s">
        <v>12</v>
      </c>
      <c r="O52" s="3">
        <v>3</v>
      </c>
      <c r="Q52" s="4" t="s">
        <v>210</v>
      </c>
      <c r="R52" s="4" t="s">
        <v>141</v>
      </c>
      <c r="S52" s="3">
        <f>0+0+6+19+0+4+5.5</f>
        <v>34.5</v>
      </c>
      <c r="U52" s="4"/>
    </row>
    <row r="53" spans="1:21" ht="14.25">
      <c r="A53" s="4"/>
      <c r="B53" s="4" t="s">
        <v>211</v>
      </c>
      <c r="C53" s="3">
        <f>2+0.5</f>
        <v>2.5</v>
      </c>
      <c r="D53" s="4"/>
      <c r="E53" s="9" t="s">
        <v>212</v>
      </c>
      <c r="F53" s="4" t="s">
        <v>213</v>
      </c>
      <c r="G53" s="3">
        <f>1+1+1</f>
        <v>3</v>
      </c>
      <c r="H53" s="4"/>
      <c r="I53" s="9" t="s">
        <v>212</v>
      </c>
      <c r="J53" s="4" t="s">
        <v>214</v>
      </c>
      <c r="K53" s="3">
        <f>2+1</f>
        <v>3</v>
      </c>
      <c r="L53" s="4"/>
      <c r="M53" s="4"/>
      <c r="N53" s="4" t="s">
        <v>214</v>
      </c>
      <c r="O53" s="3">
        <f>1+2</f>
        <v>3</v>
      </c>
      <c r="Q53" s="4" t="s">
        <v>215</v>
      </c>
      <c r="R53" s="4" t="s">
        <v>56</v>
      </c>
      <c r="S53" s="3">
        <f>6.5+15.5+12</f>
        <v>34</v>
      </c>
      <c r="U53" s="4"/>
    </row>
    <row r="54" spans="1:21" ht="14.25">
      <c r="A54" s="4"/>
      <c r="B54" s="4" t="s">
        <v>216</v>
      </c>
      <c r="C54" s="3">
        <f>0.5+1+0.5+0.5</f>
        <v>2.5</v>
      </c>
      <c r="D54" s="4"/>
      <c r="E54" s="9" t="s">
        <v>217</v>
      </c>
      <c r="F54" s="4" t="s">
        <v>117</v>
      </c>
      <c r="G54" s="3">
        <v>3</v>
      </c>
      <c r="H54" s="4"/>
      <c r="I54" s="9" t="s">
        <v>217</v>
      </c>
      <c r="J54" s="4" t="s">
        <v>218</v>
      </c>
      <c r="K54" s="3">
        <v>3</v>
      </c>
      <c r="L54" s="4"/>
      <c r="M54" s="4"/>
      <c r="N54" s="4" t="s">
        <v>219</v>
      </c>
      <c r="O54" s="3">
        <f>2.5+0.5</f>
        <v>3</v>
      </c>
      <c r="Q54" s="4" t="s">
        <v>220</v>
      </c>
      <c r="R54" s="4" t="s">
        <v>73</v>
      </c>
      <c r="S54" s="3">
        <f>1+0+0+1+10+0+11+11</f>
        <v>34</v>
      </c>
      <c r="U54" s="4"/>
    </row>
    <row r="55" spans="1:21" ht="14.25">
      <c r="A55" s="4"/>
      <c r="B55" s="4"/>
      <c r="C55" s="3"/>
      <c r="D55" s="4"/>
      <c r="E55" s="9" t="s">
        <v>221</v>
      </c>
      <c r="F55" s="4" t="s">
        <v>218</v>
      </c>
      <c r="G55" s="3">
        <f>1.5+1.5</f>
        <v>3</v>
      </c>
      <c r="H55" s="4"/>
      <c r="I55" s="9" t="s">
        <v>221</v>
      </c>
      <c r="J55" s="4" t="s">
        <v>222</v>
      </c>
      <c r="K55" s="3">
        <v>2.5</v>
      </c>
      <c r="M55" s="4"/>
      <c r="N55" s="4" t="s">
        <v>107</v>
      </c>
      <c r="O55" s="3">
        <f>2+1</f>
        <v>3</v>
      </c>
      <c r="Q55" s="4" t="s">
        <v>223</v>
      </c>
      <c r="R55" s="4" t="s">
        <v>224</v>
      </c>
      <c r="S55" s="3">
        <f>13.5+7.5+7+0+0+2+1+1</f>
        <v>32</v>
      </c>
      <c r="U55" s="4"/>
    </row>
    <row r="56" spans="1:21" ht="14.25">
      <c r="A56" s="10" t="s">
        <v>225</v>
      </c>
      <c r="B56" t="s">
        <v>226</v>
      </c>
      <c r="D56" s="4"/>
      <c r="E56" s="4"/>
      <c r="F56" s="4" t="s">
        <v>227</v>
      </c>
      <c r="G56" s="3">
        <v>3</v>
      </c>
      <c r="H56" s="4"/>
      <c r="J56" s="4" t="s">
        <v>228</v>
      </c>
      <c r="K56" s="3">
        <v>2.5</v>
      </c>
      <c r="N56" s="4"/>
      <c r="O56" s="3"/>
      <c r="Q56" s="4" t="s">
        <v>229</v>
      </c>
      <c r="R56" s="4" t="s">
        <v>123</v>
      </c>
      <c r="S56" s="3">
        <f>0+2.5+11+2+1+1+2+1+7+2</f>
        <v>29.5</v>
      </c>
      <c r="U56" s="4"/>
    </row>
    <row r="57" spans="1:21" ht="14.25">
      <c r="A57" s="4"/>
      <c r="B57" s="4"/>
      <c r="C57" s="3"/>
      <c r="D57" s="4"/>
      <c r="E57" s="4"/>
      <c r="F57" s="4" t="s">
        <v>50</v>
      </c>
      <c r="G57" s="3">
        <f>1+0.5+1+0.5</f>
        <v>3</v>
      </c>
      <c r="H57" s="4"/>
      <c r="J57" s="4" t="s">
        <v>209</v>
      </c>
      <c r="K57" s="3">
        <v>2</v>
      </c>
      <c r="N57" s="4" t="s">
        <v>211</v>
      </c>
      <c r="O57" s="3">
        <v>2.5</v>
      </c>
      <c r="Q57" s="4" t="s">
        <v>230</v>
      </c>
      <c r="R57" s="4" t="s">
        <v>63</v>
      </c>
      <c r="S57" s="3">
        <f>2+1+0+4.5+2+2.5+14+3</f>
        <v>29</v>
      </c>
      <c r="U57" s="4"/>
    </row>
    <row r="58" spans="1:21" ht="14.25">
      <c r="A58" s="4"/>
      <c r="B58" s="4"/>
      <c r="C58" s="3"/>
      <c r="D58" s="4"/>
      <c r="E58" s="4"/>
      <c r="F58" s="4" t="s">
        <v>231</v>
      </c>
      <c r="G58" s="3">
        <v>2.5</v>
      </c>
      <c r="H58" s="4"/>
      <c r="I58" s="5"/>
      <c r="J58" s="4" t="s">
        <v>232</v>
      </c>
      <c r="K58" s="3">
        <v>2</v>
      </c>
      <c r="N58" s="4" t="s">
        <v>95</v>
      </c>
      <c r="O58" s="3">
        <f>0.5+2</f>
        <v>2.5</v>
      </c>
      <c r="Q58" s="4" t="s">
        <v>233</v>
      </c>
      <c r="R58" s="4" t="s">
        <v>234</v>
      </c>
      <c r="S58" s="3">
        <f>2+11+2+14</f>
        <v>29</v>
      </c>
      <c r="U58" s="4"/>
    </row>
    <row r="59" spans="1:21" ht="14.25">
      <c r="A59" s="4"/>
      <c r="B59" s="4"/>
      <c r="C59" s="3"/>
      <c r="D59" s="4"/>
      <c r="E59" s="4"/>
      <c r="F59" s="4" t="s">
        <v>235</v>
      </c>
      <c r="G59" s="3">
        <v>2</v>
      </c>
      <c r="H59" s="4"/>
      <c r="I59" s="5"/>
      <c r="J59" s="4" t="s">
        <v>236</v>
      </c>
      <c r="K59" s="3">
        <v>2</v>
      </c>
      <c r="N59" s="4" t="s">
        <v>203</v>
      </c>
      <c r="O59" s="3">
        <v>2.5</v>
      </c>
      <c r="Q59" s="4" t="s">
        <v>237</v>
      </c>
      <c r="R59" s="4" t="s">
        <v>177</v>
      </c>
      <c r="S59" s="3">
        <f>0+0+0+10.5+0+13.5+4.5</f>
        <v>28.5</v>
      </c>
      <c r="U59" s="4"/>
    </row>
    <row r="60" spans="1:21" ht="14.25">
      <c r="A60" s="4"/>
      <c r="B60" s="4"/>
      <c r="C60" s="3"/>
      <c r="D60" s="4"/>
      <c r="E60" s="4"/>
      <c r="F60" s="4" t="s">
        <v>238</v>
      </c>
      <c r="G60" s="3">
        <v>2</v>
      </c>
      <c r="H60" s="4"/>
      <c r="I60" s="5"/>
      <c r="J60" s="4" t="s">
        <v>33</v>
      </c>
      <c r="K60" s="3">
        <v>2</v>
      </c>
      <c r="N60" s="4" t="s">
        <v>239</v>
      </c>
      <c r="O60" s="3">
        <f>1+0.5+1</f>
        <v>2.5</v>
      </c>
      <c r="Q60" s="4" t="s">
        <v>240</v>
      </c>
      <c r="R60" s="4" t="s">
        <v>106</v>
      </c>
      <c r="S60" s="3">
        <f>0+0+0+0+5+11+8+4</f>
        <v>28</v>
      </c>
      <c r="U60" s="4"/>
    </row>
    <row r="61" spans="1:21" ht="14.25">
      <c r="A61" s="4"/>
      <c r="B61" s="4"/>
      <c r="C61" s="3"/>
      <c r="D61" s="4"/>
      <c r="E61" s="4"/>
      <c r="F61" s="4" t="s">
        <v>241</v>
      </c>
      <c r="G61" s="3">
        <v>2</v>
      </c>
      <c r="H61" s="4"/>
      <c r="I61" s="5"/>
      <c r="J61" s="4" t="s">
        <v>242</v>
      </c>
      <c r="K61" s="3">
        <v>2</v>
      </c>
      <c r="N61" s="4" t="s">
        <v>128</v>
      </c>
      <c r="O61" s="3">
        <f>0.5+2</f>
        <v>2.5</v>
      </c>
      <c r="Q61" s="4" t="s">
        <v>243</v>
      </c>
      <c r="R61" s="4" t="s">
        <v>244</v>
      </c>
      <c r="S61" s="3">
        <f>1+1+0+18+0+4+2+2</f>
        <v>28</v>
      </c>
      <c r="U61" s="4"/>
    </row>
    <row r="62" spans="1:21" ht="14.25">
      <c r="A62" s="4"/>
      <c r="B62" s="4"/>
      <c r="C62" s="3"/>
      <c r="D62" s="4"/>
      <c r="E62" s="4"/>
      <c r="F62" s="4" t="s">
        <v>245</v>
      </c>
      <c r="G62" s="3">
        <v>2</v>
      </c>
      <c r="H62" s="4"/>
      <c r="I62" s="5"/>
      <c r="J62" s="4" t="s">
        <v>246</v>
      </c>
      <c r="K62" s="3">
        <v>2</v>
      </c>
      <c r="N62" s="4" t="s">
        <v>205</v>
      </c>
      <c r="O62" s="3">
        <v>2</v>
      </c>
      <c r="Q62" s="4" t="s">
        <v>247</v>
      </c>
      <c r="R62" s="4" t="s">
        <v>248</v>
      </c>
      <c r="S62" s="3">
        <f>4+8.5+11.5+3.5+0+0</f>
        <v>27.5</v>
      </c>
      <c r="U62" s="4"/>
    </row>
    <row r="63" spans="1:21" ht="14.25">
      <c r="A63" s="4"/>
      <c r="B63" s="4"/>
      <c r="C63" s="3"/>
      <c r="D63" s="4"/>
      <c r="E63" s="4"/>
      <c r="F63" s="4" t="s">
        <v>187</v>
      </c>
      <c r="G63" s="3">
        <v>2</v>
      </c>
      <c r="H63" s="4"/>
      <c r="I63" s="5"/>
      <c r="J63" s="4" t="s">
        <v>249</v>
      </c>
      <c r="K63" s="3">
        <f>1+1</f>
        <v>2</v>
      </c>
      <c r="N63" s="4" t="s">
        <v>250</v>
      </c>
      <c r="O63" s="3">
        <v>2</v>
      </c>
      <c r="Q63" s="4" t="s">
        <v>251</v>
      </c>
      <c r="R63" s="4" t="s">
        <v>252</v>
      </c>
      <c r="S63" s="3">
        <f>0+0+0+0+1+26</f>
        <v>27</v>
      </c>
      <c r="U63" s="4"/>
    </row>
    <row r="64" spans="1:21" ht="14.25">
      <c r="A64" s="4"/>
      <c r="B64" s="4"/>
      <c r="C64" s="3"/>
      <c r="D64" s="4"/>
      <c r="E64" s="4"/>
      <c r="F64" s="4" t="s">
        <v>253</v>
      </c>
      <c r="G64" s="3">
        <v>2</v>
      </c>
      <c r="H64" s="4"/>
      <c r="I64" s="5"/>
      <c r="J64" s="4" t="s">
        <v>254</v>
      </c>
      <c r="K64" s="3">
        <v>2</v>
      </c>
      <c r="N64" s="4" t="s">
        <v>255</v>
      </c>
      <c r="O64" s="3">
        <v>2</v>
      </c>
      <c r="Q64" s="4" t="s">
        <v>256</v>
      </c>
      <c r="R64" s="4" t="s">
        <v>37</v>
      </c>
      <c r="S64" s="3">
        <f>5.5+21.5</f>
        <v>27</v>
      </c>
      <c r="U64" s="4"/>
    </row>
    <row r="65" spans="1:21" ht="14.25">
      <c r="A65" s="4"/>
      <c r="B65" s="4"/>
      <c r="C65" s="3"/>
      <c r="D65" s="4"/>
      <c r="E65" s="4"/>
      <c r="F65" s="4" t="s">
        <v>244</v>
      </c>
      <c r="G65" s="3">
        <v>2</v>
      </c>
      <c r="H65" s="4"/>
      <c r="I65" s="5"/>
      <c r="J65" s="4" t="s">
        <v>257</v>
      </c>
      <c r="K65" s="3">
        <v>2</v>
      </c>
      <c r="N65" s="4" t="s">
        <v>123</v>
      </c>
      <c r="O65" s="3">
        <v>2</v>
      </c>
      <c r="Q65" s="4" t="s">
        <v>258</v>
      </c>
      <c r="R65" s="4" t="s">
        <v>259</v>
      </c>
      <c r="S65" s="3">
        <f>0+0+0+0+26+0</f>
        <v>26</v>
      </c>
      <c r="U65" s="4"/>
    </row>
    <row r="66" spans="1:21" ht="14.25">
      <c r="A66" s="4"/>
      <c r="B66" s="4"/>
      <c r="C66" s="3"/>
      <c r="D66" s="4"/>
      <c r="E66" s="4"/>
      <c r="F66" s="4" t="s">
        <v>260</v>
      </c>
      <c r="G66" s="3">
        <v>2</v>
      </c>
      <c r="H66" s="4"/>
      <c r="I66" s="5"/>
      <c r="J66" s="4" t="s">
        <v>261</v>
      </c>
      <c r="K66" s="3">
        <v>2</v>
      </c>
      <c r="N66" s="4" t="s">
        <v>262</v>
      </c>
      <c r="O66" s="3">
        <v>2</v>
      </c>
      <c r="Q66" s="4" t="s">
        <v>263</v>
      </c>
      <c r="R66" s="4" t="s">
        <v>150</v>
      </c>
      <c r="S66" s="3">
        <f>9.5+0+2.5+0+4.5+0+5.5+4</f>
        <v>26</v>
      </c>
      <c r="U66" s="4"/>
    </row>
    <row r="67" spans="1:21" ht="14.25">
      <c r="A67" s="4"/>
      <c r="B67" s="4"/>
      <c r="C67" s="3"/>
      <c r="D67" s="4"/>
      <c r="E67" s="4"/>
      <c r="F67" s="4" t="s">
        <v>107</v>
      </c>
      <c r="G67" s="3">
        <v>2</v>
      </c>
      <c r="H67" s="4"/>
      <c r="I67" s="5"/>
      <c r="J67" s="4" t="s">
        <v>264</v>
      </c>
      <c r="K67" s="3">
        <v>2</v>
      </c>
      <c r="N67" s="4" t="s">
        <v>180</v>
      </c>
      <c r="O67" s="3">
        <v>2</v>
      </c>
      <c r="Q67" s="4" t="s">
        <v>265</v>
      </c>
      <c r="R67" s="4" t="s">
        <v>266</v>
      </c>
      <c r="S67" s="3">
        <f>7+6.5+12</f>
        <v>25.5</v>
      </c>
      <c r="U67" s="4"/>
    </row>
    <row r="68" spans="1:21" ht="14.25">
      <c r="A68" s="4"/>
      <c r="B68" s="4"/>
      <c r="C68" s="3"/>
      <c r="D68" s="4"/>
      <c r="E68" s="4"/>
      <c r="F68" s="4" t="s">
        <v>68</v>
      </c>
      <c r="G68" s="3">
        <v>2</v>
      </c>
      <c r="H68" s="4"/>
      <c r="I68" s="5"/>
      <c r="J68" s="4" t="s">
        <v>267</v>
      </c>
      <c r="K68" s="3">
        <v>2</v>
      </c>
      <c r="N68" s="4" t="s">
        <v>268</v>
      </c>
      <c r="O68" s="3">
        <v>2</v>
      </c>
      <c r="Q68" s="4" t="s">
        <v>269</v>
      </c>
      <c r="R68" s="4" t="s">
        <v>270</v>
      </c>
      <c r="S68" s="3">
        <f>21.5+3.5</f>
        <v>25</v>
      </c>
      <c r="U68" s="4"/>
    </row>
    <row r="69" spans="1:21" ht="14.25">
      <c r="A69" s="4"/>
      <c r="B69" s="4"/>
      <c r="C69" s="3"/>
      <c r="D69" s="4"/>
      <c r="E69" s="4"/>
      <c r="F69" s="4" t="s">
        <v>65</v>
      </c>
      <c r="G69" s="3">
        <v>2</v>
      </c>
      <c r="H69" s="4"/>
      <c r="I69" s="5"/>
      <c r="J69" s="4" t="s">
        <v>156</v>
      </c>
      <c r="K69" s="3">
        <f>1+0.5</f>
        <v>1.5</v>
      </c>
      <c r="N69" s="4" t="s">
        <v>271</v>
      </c>
      <c r="O69" s="3">
        <v>2</v>
      </c>
      <c r="Q69" s="4" t="s">
        <v>272</v>
      </c>
      <c r="R69" s="4" t="s">
        <v>99</v>
      </c>
      <c r="S69" s="3">
        <f>0+0+0+0+0+9+7+9</f>
        <v>25</v>
      </c>
      <c r="U69" s="4"/>
    </row>
    <row r="70" spans="1:21" ht="14.25">
      <c r="A70" s="4"/>
      <c r="B70" s="4"/>
      <c r="C70" s="3"/>
      <c r="D70" s="4"/>
      <c r="E70" s="4"/>
      <c r="F70" s="4" t="s">
        <v>273</v>
      </c>
      <c r="G70" s="3">
        <v>2</v>
      </c>
      <c r="H70" s="4"/>
      <c r="I70" s="5"/>
      <c r="J70" s="4" t="s">
        <v>274</v>
      </c>
      <c r="K70" s="3">
        <v>1.5</v>
      </c>
      <c r="N70" s="4" t="s">
        <v>244</v>
      </c>
      <c r="O70" s="3">
        <v>2</v>
      </c>
      <c r="Q70" s="4" t="s">
        <v>275</v>
      </c>
      <c r="R70" s="4" t="s">
        <v>276</v>
      </c>
      <c r="S70" s="3">
        <f>15.5+2.5+6+0+0.5+0</f>
        <v>24.5</v>
      </c>
      <c r="U70" s="4"/>
    </row>
    <row r="71" spans="1:21" ht="14.25">
      <c r="A71" s="4"/>
      <c r="B71" s="4"/>
      <c r="C71" s="3"/>
      <c r="D71" s="4"/>
      <c r="E71" s="4"/>
      <c r="F71" s="4" t="s">
        <v>193</v>
      </c>
      <c r="G71" s="3">
        <f>1+0.5</f>
        <v>1.5</v>
      </c>
      <c r="H71" s="4"/>
      <c r="I71" s="5"/>
      <c r="J71" s="4" t="s">
        <v>50</v>
      </c>
      <c r="K71" s="3">
        <f>1+0.5</f>
        <v>1.5</v>
      </c>
      <c r="N71" s="4" t="s">
        <v>277</v>
      </c>
      <c r="O71" s="3">
        <v>2</v>
      </c>
      <c r="Q71" s="4" t="s">
        <v>278</v>
      </c>
      <c r="R71" s="4" t="s">
        <v>50</v>
      </c>
      <c r="S71" s="3">
        <f>3+1.5+19.5</f>
        <v>24</v>
      </c>
      <c r="U71" s="4"/>
    </row>
    <row r="72" spans="1:21" ht="14.25">
      <c r="A72" s="4"/>
      <c r="B72" s="4"/>
      <c r="C72" s="3"/>
      <c r="D72" s="4"/>
      <c r="E72" s="4"/>
      <c r="F72" s="4" t="s">
        <v>279</v>
      </c>
      <c r="G72" s="3">
        <v>1.5</v>
      </c>
      <c r="H72" s="4"/>
      <c r="I72" s="5"/>
      <c r="J72" s="4" t="s">
        <v>144</v>
      </c>
      <c r="K72" s="3">
        <v>1.5</v>
      </c>
      <c r="N72" s="4" t="s">
        <v>280</v>
      </c>
      <c r="O72" s="3">
        <v>2</v>
      </c>
      <c r="Q72" s="4" t="s">
        <v>281</v>
      </c>
      <c r="R72" s="4" t="s">
        <v>249</v>
      </c>
      <c r="S72" s="3">
        <f>0+0+2.5+3+15.5+0+0.5+2+0.5</f>
        <v>24</v>
      </c>
      <c r="U72" s="4"/>
    </row>
    <row r="73" spans="1:21" ht="14.25">
      <c r="A73" s="4"/>
      <c r="B73" s="4"/>
      <c r="C73" s="3"/>
      <c r="D73" s="4"/>
      <c r="E73" s="4"/>
      <c r="F73" s="4" t="s">
        <v>282</v>
      </c>
      <c r="G73" s="3">
        <v>1.5</v>
      </c>
      <c r="H73" s="4"/>
      <c r="I73" s="5"/>
      <c r="J73" s="4" t="s">
        <v>89</v>
      </c>
      <c r="K73" s="3">
        <f>1+0.5</f>
        <v>1.5</v>
      </c>
      <c r="N73" s="4" t="s">
        <v>189</v>
      </c>
      <c r="O73" s="3">
        <f>0.5+0.5+0.5</f>
        <v>1.5</v>
      </c>
      <c r="Q73" s="4" t="s">
        <v>283</v>
      </c>
      <c r="R73" s="4" t="s">
        <v>165</v>
      </c>
      <c r="S73" s="3">
        <f>7+5+6+5.5</f>
        <v>23.5</v>
      </c>
      <c r="U73" s="4"/>
    </row>
    <row r="74" spans="1:21" ht="14.25">
      <c r="A74" s="4"/>
      <c r="B74" s="4"/>
      <c r="C74" s="3"/>
      <c r="D74" s="4"/>
      <c r="E74" s="4"/>
      <c r="F74" s="4" t="s">
        <v>189</v>
      </c>
      <c r="G74" s="3">
        <f>0.5+1</f>
        <v>1.5</v>
      </c>
      <c r="H74" s="4"/>
      <c r="I74" s="5"/>
      <c r="J74" s="4" t="s">
        <v>284</v>
      </c>
      <c r="K74" s="3">
        <v>1.5</v>
      </c>
      <c r="N74" s="4" t="s">
        <v>144</v>
      </c>
      <c r="O74" s="3">
        <f>1+0.5</f>
        <v>1.5</v>
      </c>
      <c r="Q74" s="4" t="s">
        <v>285</v>
      </c>
      <c r="R74" s="4" t="s">
        <v>110</v>
      </c>
      <c r="S74" s="3">
        <f>0+0+0+0+0+15+8</f>
        <v>23</v>
      </c>
      <c r="U74" s="4"/>
    </row>
    <row r="75" spans="1:21" ht="14.25">
      <c r="A75" s="4"/>
      <c r="B75" s="4"/>
      <c r="C75" s="3"/>
      <c r="D75" s="4"/>
      <c r="E75" s="4"/>
      <c r="F75" s="4" t="s">
        <v>277</v>
      </c>
      <c r="G75" s="3">
        <v>1.5</v>
      </c>
      <c r="H75" s="4"/>
      <c r="I75" s="5"/>
      <c r="J75" s="4" t="s">
        <v>191</v>
      </c>
      <c r="K75" s="3">
        <v>1</v>
      </c>
      <c r="N75" s="4" t="s">
        <v>284</v>
      </c>
      <c r="O75" s="3">
        <v>1.5</v>
      </c>
      <c r="Q75" s="4" t="s">
        <v>286</v>
      </c>
      <c r="R75" s="4" t="s">
        <v>287</v>
      </c>
      <c r="S75" s="3">
        <f>0+12+0+6+5+0</f>
        <v>23</v>
      </c>
      <c r="U75" s="4"/>
    </row>
    <row r="76" spans="1:21" ht="14.25">
      <c r="A76" s="4"/>
      <c r="B76" s="4"/>
      <c r="C76" s="3"/>
      <c r="D76" s="4"/>
      <c r="E76" s="4"/>
      <c r="F76" s="4" t="s">
        <v>288</v>
      </c>
      <c r="G76" s="3">
        <v>1</v>
      </c>
      <c r="H76" s="4"/>
      <c r="I76" s="5"/>
      <c r="J76" s="4" t="s">
        <v>179</v>
      </c>
      <c r="K76" s="3">
        <v>1</v>
      </c>
      <c r="N76" s="4" t="s">
        <v>232</v>
      </c>
      <c r="O76" s="3">
        <v>1</v>
      </c>
      <c r="Q76" s="4" t="s">
        <v>289</v>
      </c>
      <c r="R76" s="4" t="s">
        <v>290</v>
      </c>
      <c r="S76" s="3">
        <f>1.5+2.5+0+19+0+0</f>
        <v>23</v>
      </c>
      <c r="U76" s="4"/>
    </row>
    <row r="77" spans="1:21" ht="14.25">
      <c r="A77" s="4"/>
      <c r="B77" s="4"/>
      <c r="C77" s="3"/>
      <c r="D77" s="4"/>
      <c r="E77" s="4"/>
      <c r="F77" s="4" t="s">
        <v>291</v>
      </c>
      <c r="G77" s="3">
        <v>1</v>
      </c>
      <c r="H77" s="4"/>
      <c r="I77" s="5"/>
      <c r="J77" s="4" t="s">
        <v>292</v>
      </c>
      <c r="K77" s="3">
        <v>1</v>
      </c>
      <c r="N77" s="4" t="s">
        <v>293</v>
      </c>
      <c r="O77" s="3">
        <v>1</v>
      </c>
      <c r="Q77" s="4" t="s">
        <v>294</v>
      </c>
      <c r="R77" s="4" t="s">
        <v>295</v>
      </c>
      <c r="S77" s="3">
        <f>1+9+0+11.5+0+0</f>
        <v>21.5</v>
      </c>
      <c r="U77" s="4"/>
    </row>
    <row r="78" spans="1:21" ht="14.25">
      <c r="A78" s="4"/>
      <c r="B78" s="4"/>
      <c r="C78" s="3"/>
      <c r="D78" s="4"/>
      <c r="E78" s="4"/>
      <c r="F78" s="4" t="s">
        <v>296</v>
      </c>
      <c r="G78" s="3">
        <v>1</v>
      </c>
      <c r="H78" s="4"/>
      <c r="I78" s="5"/>
      <c r="J78" s="4" t="s">
        <v>118</v>
      </c>
      <c r="K78" s="3">
        <v>1</v>
      </c>
      <c r="N78" s="4" t="s">
        <v>297</v>
      </c>
      <c r="O78" s="3">
        <v>1</v>
      </c>
      <c r="Q78" s="4" t="s">
        <v>298</v>
      </c>
      <c r="R78" s="4" t="s">
        <v>117</v>
      </c>
      <c r="S78" s="3">
        <f>0+1+0+0+2+4+7.5+3+4</f>
        <v>21.5</v>
      </c>
      <c r="U78" s="4"/>
    </row>
    <row r="79" spans="1:21" ht="14.25">
      <c r="A79" s="4"/>
      <c r="B79" s="4"/>
      <c r="C79" s="3"/>
      <c r="D79" s="4"/>
      <c r="E79" s="4"/>
      <c r="F79" s="4" t="s">
        <v>299</v>
      </c>
      <c r="G79" s="3">
        <v>1</v>
      </c>
      <c r="H79" s="4"/>
      <c r="I79" s="5"/>
      <c r="J79" s="4" t="s">
        <v>95</v>
      </c>
      <c r="K79" s="3">
        <v>1</v>
      </c>
      <c r="N79" s="4" t="s">
        <v>300</v>
      </c>
      <c r="O79" s="3">
        <v>1</v>
      </c>
      <c r="Q79" s="4" t="s">
        <v>301</v>
      </c>
      <c r="R79" s="4" t="s">
        <v>66</v>
      </c>
      <c r="S79" s="3">
        <f>5.5+15.5</f>
        <v>21</v>
      </c>
      <c r="U79" s="4"/>
    </row>
    <row r="80" spans="1:21" ht="14.25">
      <c r="A80" s="4"/>
      <c r="B80" s="4"/>
      <c r="C80" s="3"/>
      <c r="D80" s="4"/>
      <c r="E80" s="4"/>
      <c r="F80" s="4" t="s">
        <v>302</v>
      </c>
      <c r="G80" s="3">
        <v>1</v>
      </c>
      <c r="H80" s="4"/>
      <c r="I80" s="5"/>
      <c r="J80" s="4" t="s">
        <v>303</v>
      </c>
      <c r="K80" s="3">
        <v>1</v>
      </c>
      <c r="N80" s="4" t="s">
        <v>304</v>
      </c>
      <c r="O80" s="3">
        <v>1</v>
      </c>
      <c r="Q80" s="4" t="s">
        <v>305</v>
      </c>
      <c r="R80" s="4" t="s">
        <v>214</v>
      </c>
      <c r="S80" s="3">
        <f>2+9+0+0+0+1+2+1+3+3</f>
        <v>21</v>
      </c>
      <c r="U80" s="4"/>
    </row>
    <row r="81" spans="1:21" ht="14.25">
      <c r="A81" s="4"/>
      <c r="B81" s="4"/>
      <c r="C81" s="3"/>
      <c r="D81" s="4"/>
      <c r="E81" s="4"/>
      <c r="F81" s="4" t="s">
        <v>306</v>
      </c>
      <c r="G81" s="3">
        <v>1</v>
      </c>
      <c r="H81" s="4"/>
      <c r="I81" s="5"/>
      <c r="J81" s="4" t="s">
        <v>296</v>
      </c>
      <c r="K81" s="3">
        <v>1</v>
      </c>
      <c r="N81" s="4" t="s">
        <v>307</v>
      </c>
      <c r="O81" s="3">
        <v>1</v>
      </c>
      <c r="Q81" s="4" t="s">
        <v>308</v>
      </c>
      <c r="R81" s="4" t="s">
        <v>81</v>
      </c>
      <c r="S81" s="3">
        <f>0+0.5+0+0+8+0.5+11</f>
        <v>20</v>
      </c>
      <c r="U81" s="4"/>
    </row>
    <row r="82" spans="1:21" ht="14.25">
      <c r="A82" s="4"/>
      <c r="B82" s="4"/>
      <c r="C82" s="3"/>
      <c r="D82" s="4"/>
      <c r="E82" s="4"/>
      <c r="F82" s="4" t="s">
        <v>309</v>
      </c>
      <c r="G82" s="3">
        <v>1</v>
      </c>
      <c r="H82" s="4"/>
      <c r="I82" s="5"/>
      <c r="J82" s="4" t="s">
        <v>310</v>
      </c>
      <c r="K82" s="3">
        <v>1</v>
      </c>
      <c r="N82" s="4" t="s">
        <v>311</v>
      </c>
      <c r="O82" s="3">
        <v>1</v>
      </c>
      <c r="Q82" s="4" t="s">
        <v>312</v>
      </c>
      <c r="R82" s="4" t="s">
        <v>313</v>
      </c>
      <c r="S82" s="3">
        <f>9.5+10.5</f>
        <v>20</v>
      </c>
      <c r="U82" s="4"/>
    </row>
    <row r="83" spans="1:21" ht="14.25">
      <c r="A83" s="4"/>
      <c r="B83" s="4"/>
      <c r="C83" s="3"/>
      <c r="D83" s="4"/>
      <c r="E83" s="4"/>
      <c r="F83" s="4" t="s">
        <v>314</v>
      </c>
      <c r="G83" s="3">
        <v>1</v>
      </c>
      <c r="H83" s="4"/>
      <c r="I83" s="5"/>
      <c r="J83" s="4" t="s">
        <v>315</v>
      </c>
      <c r="K83" s="3">
        <v>1</v>
      </c>
      <c r="N83" s="4" t="s">
        <v>316</v>
      </c>
      <c r="O83" s="3">
        <v>1</v>
      </c>
      <c r="Q83" s="4" t="s">
        <v>317</v>
      </c>
      <c r="R83" s="4" t="s">
        <v>135</v>
      </c>
      <c r="S83" s="3">
        <f>3.5+0+0+10+0+0+6</f>
        <v>19.5</v>
      </c>
      <c r="U83" s="4"/>
    </row>
    <row r="84" spans="6:21" ht="14.25">
      <c r="F84" s="4" t="s">
        <v>156</v>
      </c>
      <c r="G84" s="3">
        <v>1</v>
      </c>
      <c r="J84" s="4" t="s">
        <v>279</v>
      </c>
      <c r="K84" s="3">
        <v>1</v>
      </c>
      <c r="N84" s="4" t="s">
        <v>318</v>
      </c>
      <c r="O84" s="3">
        <v>1</v>
      </c>
      <c r="Q84" s="4" t="s">
        <v>319</v>
      </c>
      <c r="R84" s="4" t="s">
        <v>320</v>
      </c>
      <c r="S84" s="4">
        <f>3.5+8+7+0+0+0</f>
        <v>18.5</v>
      </c>
      <c r="U84" s="4"/>
    </row>
    <row r="85" spans="6:21" ht="14.25">
      <c r="F85" s="4" t="s">
        <v>307</v>
      </c>
      <c r="G85" s="3">
        <v>1</v>
      </c>
      <c r="J85" s="4" t="s">
        <v>84</v>
      </c>
      <c r="K85" s="3">
        <v>1</v>
      </c>
      <c r="N85" s="4" t="s">
        <v>321</v>
      </c>
      <c r="O85" s="3">
        <v>1</v>
      </c>
      <c r="Q85" s="4" t="s">
        <v>322</v>
      </c>
      <c r="R85" s="4" t="s">
        <v>103</v>
      </c>
      <c r="S85" s="3">
        <f>8+10</f>
        <v>18</v>
      </c>
      <c r="U85" s="4"/>
    </row>
    <row r="86" spans="6:21" ht="14.25">
      <c r="F86" s="4" t="s">
        <v>323</v>
      </c>
      <c r="G86" s="3">
        <v>1</v>
      </c>
      <c r="J86" s="4" t="s">
        <v>324</v>
      </c>
      <c r="K86" s="3">
        <v>1</v>
      </c>
      <c r="N86" s="4" t="s">
        <v>325</v>
      </c>
      <c r="O86" s="3">
        <v>1</v>
      </c>
      <c r="Q86" s="4" t="s">
        <v>326</v>
      </c>
      <c r="R86" s="4" t="s">
        <v>113</v>
      </c>
      <c r="S86" s="3">
        <f>6+10.5</f>
        <v>16.5</v>
      </c>
      <c r="U86" s="4"/>
    </row>
    <row r="87" spans="6:21" ht="14.25">
      <c r="F87" s="4" t="s">
        <v>137</v>
      </c>
      <c r="G87" s="3">
        <v>1</v>
      </c>
      <c r="J87" s="4" t="s">
        <v>327</v>
      </c>
      <c r="K87" s="3">
        <v>1</v>
      </c>
      <c r="N87" s="4" t="s">
        <v>328</v>
      </c>
      <c r="O87" s="3">
        <v>1</v>
      </c>
      <c r="Q87" s="4" t="s">
        <v>329</v>
      </c>
      <c r="R87" s="4" t="s">
        <v>191</v>
      </c>
      <c r="S87" s="3">
        <f>2+2+2+0+2+2+4+1+1</f>
        <v>16</v>
      </c>
      <c r="U87" s="4"/>
    </row>
    <row r="88" spans="6:21" ht="14.25">
      <c r="F88" s="4" t="s">
        <v>63</v>
      </c>
      <c r="G88" s="3">
        <v>1</v>
      </c>
      <c r="J88" s="4" t="s">
        <v>330</v>
      </c>
      <c r="K88" s="3">
        <v>1</v>
      </c>
      <c r="N88" s="4" t="s">
        <v>331</v>
      </c>
      <c r="O88" s="3">
        <v>1</v>
      </c>
      <c r="Q88" s="4" t="s">
        <v>332</v>
      </c>
      <c r="R88" s="4" t="s">
        <v>333</v>
      </c>
      <c r="S88" s="3">
        <f>0+0+2.5+4.5+5+4</f>
        <v>16</v>
      </c>
      <c r="U88" s="4"/>
    </row>
    <row r="89" spans="6:21" ht="14.25">
      <c r="F89" s="4" t="s">
        <v>334</v>
      </c>
      <c r="G89" s="3">
        <v>1</v>
      </c>
      <c r="J89" s="4" t="s">
        <v>335</v>
      </c>
      <c r="K89" s="3">
        <v>0.5</v>
      </c>
      <c r="N89" s="4" t="s">
        <v>336</v>
      </c>
      <c r="O89" s="3">
        <v>1</v>
      </c>
      <c r="Q89" s="4" t="s">
        <v>337</v>
      </c>
      <c r="R89" s="4" t="s">
        <v>338</v>
      </c>
      <c r="S89" s="3">
        <f>0+0+0+0+0.5+15</f>
        <v>15.5</v>
      </c>
      <c r="U89" s="4"/>
    </row>
    <row r="90" spans="6:21" ht="14.25">
      <c r="F90" s="4" t="s">
        <v>123</v>
      </c>
      <c r="G90" s="3">
        <v>1</v>
      </c>
      <c r="N90" s="4" t="s">
        <v>339</v>
      </c>
      <c r="O90" s="3">
        <v>1</v>
      </c>
      <c r="Q90" s="4" t="s">
        <v>340</v>
      </c>
      <c r="R90" s="4" t="s">
        <v>83</v>
      </c>
      <c r="S90" s="3">
        <f>5+0+10.5</f>
        <v>15.5</v>
      </c>
      <c r="U90" s="4"/>
    </row>
    <row r="91" spans="6:21" ht="14.25">
      <c r="F91" s="4" t="s">
        <v>341</v>
      </c>
      <c r="G91" s="3">
        <v>1</v>
      </c>
      <c r="N91" s="4" t="s">
        <v>342</v>
      </c>
      <c r="O91" s="3">
        <v>1</v>
      </c>
      <c r="Q91" s="4" t="s">
        <v>343</v>
      </c>
      <c r="R91" s="4" t="s">
        <v>60</v>
      </c>
      <c r="S91" s="3">
        <f>1+0.5+14</f>
        <v>15.5</v>
      </c>
      <c r="U91" s="4"/>
    </row>
    <row r="92" spans="6:21" ht="14.25">
      <c r="F92" s="4" t="s">
        <v>344</v>
      </c>
      <c r="G92" s="3">
        <v>1</v>
      </c>
      <c r="N92" s="4" t="s">
        <v>345</v>
      </c>
      <c r="O92" s="3">
        <v>1</v>
      </c>
      <c r="Q92" s="4" t="s">
        <v>346</v>
      </c>
      <c r="R92" s="4" t="s">
        <v>189</v>
      </c>
      <c r="S92" s="3">
        <f>3.5+4+1.5+4+1.5</f>
        <v>14.5</v>
      </c>
      <c r="U92" s="4"/>
    </row>
    <row r="93" spans="6:21" ht="14.25">
      <c r="F93" s="4" t="s">
        <v>193</v>
      </c>
      <c r="G93" s="3">
        <v>1</v>
      </c>
      <c r="N93" s="4" t="s">
        <v>88</v>
      </c>
      <c r="O93" s="3">
        <f>0.5+0.5</f>
        <v>1</v>
      </c>
      <c r="Q93" s="4" t="s">
        <v>347</v>
      </c>
      <c r="R93" s="4" t="s">
        <v>75</v>
      </c>
      <c r="S93" s="3">
        <v>14.5</v>
      </c>
      <c r="U93" s="4"/>
    </row>
    <row r="94" spans="6:21" ht="14.25">
      <c r="F94" s="4" t="s">
        <v>348</v>
      </c>
      <c r="G94" s="3">
        <v>1</v>
      </c>
      <c r="N94" s="4" t="s">
        <v>349</v>
      </c>
      <c r="O94" s="3">
        <v>1</v>
      </c>
      <c r="Q94" s="4" t="s">
        <v>350</v>
      </c>
      <c r="R94" s="4" t="s">
        <v>89</v>
      </c>
      <c r="S94" s="3">
        <f>1.5+12.5</f>
        <v>14</v>
      </c>
      <c r="U94" s="4"/>
    </row>
    <row r="95" spans="6:21" ht="14.25">
      <c r="F95" s="4" t="s">
        <v>191</v>
      </c>
      <c r="G95" s="3">
        <v>1</v>
      </c>
      <c r="N95" s="4" t="s">
        <v>351</v>
      </c>
      <c r="O95" s="3">
        <v>1</v>
      </c>
      <c r="Q95" s="4" t="s">
        <v>352</v>
      </c>
      <c r="R95" s="4" t="s">
        <v>292</v>
      </c>
      <c r="S95" s="3">
        <f>7.5+2.5+0+2+1+0+1</f>
        <v>14</v>
      </c>
      <c r="U95" s="4"/>
    </row>
    <row r="96" spans="6:21" ht="14.25">
      <c r="F96" s="4" t="s">
        <v>156</v>
      </c>
      <c r="G96" s="3">
        <v>1</v>
      </c>
      <c r="N96" s="4" t="s">
        <v>353</v>
      </c>
      <c r="O96" s="3">
        <v>1</v>
      </c>
      <c r="Q96" s="4" t="s">
        <v>354</v>
      </c>
      <c r="R96" s="4" t="s">
        <v>355</v>
      </c>
      <c r="S96" s="3">
        <f>9.5+0+0+0+2+0+2</f>
        <v>13.5</v>
      </c>
      <c r="U96" s="4"/>
    </row>
    <row r="97" spans="6:21" ht="14.25">
      <c r="F97" s="4" t="s">
        <v>356</v>
      </c>
      <c r="G97" s="3">
        <f>0.5+0.5</f>
        <v>1</v>
      </c>
      <c r="N97" s="4" t="s">
        <v>260</v>
      </c>
      <c r="O97" s="3">
        <v>1</v>
      </c>
      <c r="Q97" s="4" t="s">
        <v>357</v>
      </c>
      <c r="R97" s="4" t="s">
        <v>144</v>
      </c>
      <c r="S97" s="3">
        <f>5+5+1.5+1.5</f>
        <v>13</v>
      </c>
      <c r="U97" s="4"/>
    </row>
    <row r="98" spans="6:21" ht="14.25">
      <c r="F98" s="4" t="s">
        <v>214</v>
      </c>
      <c r="G98" s="3">
        <v>1</v>
      </c>
      <c r="N98" s="4" t="s">
        <v>358</v>
      </c>
      <c r="O98" s="3">
        <v>1</v>
      </c>
      <c r="Q98" s="4" t="s">
        <v>359</v>
      </c>
      <c r="R98" s="4" t="s">
        <v>88</v>
      </c>
      <c r="S98" s="3">
        <f>12+1</f>
        <v>13</v>
      </c>
      <c r="U98" s="4"/>
    </row>
    <row r="99" spans="6:21" ht="14.25">
      <c r="F99" s="4" t="s">
        <v>360</v>
      </c>
      <c r="G99" s="3">
        <v>1</v>
      </c>
      <c r="N99" s="4" t="s">
        <v>203</v>
      </c>
      <c r="O99" s="3">
        <v>1</v>
      </c>
      <c r="Q99" s="4" t="s">
        <v>361</v>
      </c>
      <c r="R99" s="4" t="s">
        <v>362</v>
      </c>
      <c r="S99" s="3">
        <v>13</v>
      </c>
      <c r="U99" s="4"/>
    </row>
    <row r="100" spans="6:21" ht="14.25">
      <c r="F100" s="4" t="s">
        <v>224</v>
      </c>
      <c r="G100" s="3">
        <v>1</v>
      </c>
      <c r="N100" s="4" t="s">
        <v>363</v>
      </c>
      <c r="O100" s="3">
        <v>1</v>
      </c>
      <c r="Q100" s="4" t="s">
        <v>364</v>
      </c>
      <c r="R100" s="4" t="s">
        <v>107</v>
      </c>
      <c r="S100" s="3">
        <f>2+8+3</f>
        <v>13</v>
      </c>
      <c r="U100" s="4"/>
    </row>
    <row r="101" spans="6:21" ht="14.25">
      <c r="F101" s="4" t="s">
        <v>365</v>
      </c>
      <c r="G101" s="3">
        <f>0.5+0.5</f>
        <v>1</v>
      </c>
      <c r="N101" s="4" t="s">
        <v>366</v>
      </c>
      <c r="O101" s="3">
        <v>1</v>
      </c>
      <c r="Q101" s="4" t="s">
        <v>367</v>
      </c>
      <c r="R101" s="4" t="s">
        <v>368</v>
      </c>
      <c r="S101" s="3">
        <f>0+0+0+11+2+0</f>
        <v>13</v>
      </c>
      <c r="U101" s="4"/>
    </row>
    <row r="102" spans="6:21" ht="14.25">
      <c r="F102" s="4" t="s">
        <v>169</v>
      </c>
      <c r="G102" s="3">
        <v>1</v>
      </c>
      <c r="N102" s="4" t="s">
        <v>369</v>
      </c>
      <c r="O102" s="3">
        <v>1</v>
      </c>
      <c r="Q102" s="4" t="s">
        <v>370</v>
      </c>
      <c r="R102" s="4" t="s">
        <v>74</v>
      </c>
      <c r="S102" s="3">
        <v>12</v>
      </c>
      <c r="U102" s="4"/>
    </row>
    <row r="103" spans="6:21" ht="14.25">
      <c r="F103" s="4" t="s">
        <v>371</v>
      </c>
      <c r="G103" s="3">
        <v>1</v>
      </c>
      <c r="N103" s="4" t="s">
        <v>296</v>
      </c>
      <c r="O103" s="3">
        <v>1</v>
      </c>
      <c r="Q103" s="4" t="s">
        <v>372</v>
      </c>
      <c r="R103" s="4" t="s">
        <v>128</v>
      </c>
      <c r="S103" s="3">
        <f>2+7+2.5</f>
        <v>11.5</v>
      </c>
      <c r="U103" s="4"/>
    </row>
    <row r="104" spans="6:21" ht="14.25">
      <c r="F104" s="4" t="s">
        <v>205</v>
      </c>
      <c r="G104" s="3">
        <v>1</v>
      </c>
      <c r="N104" s="4" t="s">
        <v>267</v>
      </c>
      <c r="O104" s="3">
        <v>1</v>
      </c>
      <c r="Q104" s="4" t="s">
        <v>373</v>
      </c>
      <c r="R104" s="4" t="s">
        <v>108</v>
      </c>
      <c r="S104" s="3">
        <v>11</v>
      </c>
      <c r="U104" s="4"/>
    </row>
    <row r="105" spans="6:21" ht="14.25">
      <c r="F105" s="4" t="s">
        <v>374</v>
      </c>
      <c r="G105" s="3">
        <v>1</v>
      </c>
      <c r="N105" s="4" t="s">
        <v>375</v>
      </c>
      <c r="O105" s="3">
        <v>1</v>
      </c>
      <c r="Q105" s="4" t="s">
        <v>376</v>
      </c>
      <c r="R105" s="4" t="s">
        <v>145</v>
      </c>
      <c r="S105" s="3">
        <f>5+5.5</f>
        <v>10.5</v>
      </c>
      <c r="U105" s="4"/>
    </row>
    <row r="106" spans="6:21" ht="14.25">
      <c r="F106" s="4" t="s">
        <v>377</v>
      </c>
      <c r="G106" s="3">
        <v>0.5</v>
      </c>
      <c r="N106" s="4" t="s">
        <v>378</v>
      </c>
      <c r="O106" s="3">
        <v>1</v>
      </c>
      <c r="Q106" s="4" t="s">
        <v>379</v>
      </c>
      <c r="R106" s="4" t="s">
        <v>119</v>
      </c>
      <c r="S106" s="3">
        <v>10</v>
      </c>
      <c r="U106" s="4"/>
    </row>
    <row r="107" spans="6:21" ht="14.25">
      <c r="F107" s="4" t="s">
        <v>380</v>
      </c>
      <c r="G107" s="3">
        <v>0.5</v>
      </c>
      <c r="N107" s="4" t="s">
        <v>381</v>
      </c>
      <c r="O107" s="3">
        <v>1</v>
      </c>
      <c r="Q107" s="4" t="s">
        <v>382</v>
      </c>
      <c r="R107" s="4" t="s">
        <v>92</v>
      </c>
      <c r="S107" s="3">
        <v>10</v>
      </c>
      <c r="U107" s="4"/>
    </row>
    <row r="108" spans="6:21" ht="14.25">
      <c r="F108" s="4" t="s">
        <v>60</v>
      </c>
      <c r="G108" s="3">
        <v>0.5</v>
      </c>
      <c r="N108" s="4" t="s">
        <v>13</v>
      </c>
      <c r="O108" s="3">
        <v>0.5</v>
      </c>
      <c r="Q108" s="4" t="s">
        <v>383</v>
      </c>
      <c r="R108" s="4" t="s">
        <v>384</v>
      </c>
      <c r="S108" s="3">
        <f>5+5</f>
        <v>10</v>
      </c>
      <c r="U108" s="4"/>
    </row>
    <row r="109" spans="6:21" ht="14.25">
      <c r="F109" s="4" t="s">
        <v>385</v>
      </c>
      <c r="G109" s="3">
        <v>0.5</v>
      </c>
      <c r="N109" s="4" t="s">
        <v>386</v>
      </c>
      <c r="O109" s="3">
        <v>0.5</v>
      </c>
      <c r="Q109" s="4" t="s">
        <v>387</v>
      </c>
      <c r="R109" s="4" t="s">
        <v>137</v>
      </c>
      <c r="S109" s="3">
        <f>6.5+3.5</f>
        <v>10</v>
      </c>
      <c r="U109" s="4"/>
    </row>
    <row r="110" spans="6:21" ht="14.25">
      <c r="F110" s="4" t="s">
        <v>388</v>
      </c>
      <c r="G110" s="3">
        <v>0.5</v>
      </c>
      <c r="N110" s="4" t="s">
        <v>389</v>
      </c>
      <c r="O110" s="3">
        <v>0.5</v>
      </c>
      <c r="Q110" s="4" t="s">
        <v>390</v>
      </c>
      <c r="R110" s="4" t="s">
        <v>358</v>
      </c>
      <c r="S110" s="3">
        <f>8+1</f>
        <v>9</v>
      </c>
      <c r="U110" s="4"/>
    </row>
    <row r="111" spans="6:21" ht="14.25">
      <c r="F111" s="4" t="s">
        <v>391</v>
      </c>
      <c r="G111" s="3">
        <v>0.5</v>
      </c>
      <c r="N111" s="4" t="s">
        <v>392</v>
      </c>
      <c r="O111" s="3">
        <v>0.5</v>
      </c>
      <c r="Q111" s="4" t="s">
        <v>393</v>
      </c>
      <c r="R111" s="4" t="s">
        <v>156</v>
      </c>
      <c r="S111" s="3">
        <f>1+1.5+6</f>
        <v>8.5</v>
      </c>
      <c r="U111" s="4"/>
    </row>
    <row r="112" spans="6:21" ht="14.25">
      <c r="F112" s="4" t="s">
        <v>394</v>
      </c>
      <c r="G112" s="3">
        <v>0.5</v>
      </c>
      <c r="N112" s="4" t="s">
        <v>395</v>
      </c>
      <c r="O112" s="3">
        <v>0.5</v>
      </c>
      <c r="Q112" s="4" t="s">
        <v>396</v>
      </c>
      <c r="R112" s="4" t="s">
        <v>397</v>
      </c>
      <c r="S112" s="3">
        <v>8.5</v>
      </c>
      <c r="U112" s="4"/>
    </row>
    <row r="113" spans="6:21" ht="14.25">
      <c r="F113" s="4" t="s">
        <v>398</v>
      </c>
      <c r="G113" s="3">
        <v>0.5</v>
      </c>
      <c r="N113" s="4" t="s">
        <v>399</v>
      </c>
      <c r="O113" s="3">
        <v>0.5</v>
      </c>
      <c r="Q113" s="4" t="s">
        <v>400</v>
      </c>
      <c r="R113" s="4" t="s">
        <v>139</v>
      </c>
      <c r="S113" s="3">
        <f>5+3</f>
        <v>8</v>
      </c>
      <c r="U113" s="4"/>
    </row>
    <row r="114" spans="6:21" ht="14.25">
      <c r="F114" s="4" t="s">
        <v>401</v>
      </c>
      <c r="G114" s="3">
        <v>0.5</v>
      </c>
      <c r="N114" s="4" t="s">
        <v>402</v>
      </c>
      <c r="O114" s="3">
        <v>0.5</v>
      </c>
      <c r="Q114" s="4" t="s">
        <v>403</v>
      </c>
      <c r="R114" s="4" t="s">
        <v>284</v>
      </c>
      <c r="S114" s="3">
        <f>5+1.5+1.5</f>
        <v>8</v>
      </c>
      <c r="U114" s="4"/>
    </row>
    <row r="115" spans="6:21" ht="14.25">
      <c r="F115" s="4" t="s">
        <v>404</v>
      </c>
      <c r="G115" s="3">
        <v>0.5</v>
      </c>
      <c r="N115" s="4" t="s">
        <v>405</v>
      </c>
      <c r="O115" s="3">
        <v>0.5</v>
      </c>
      <c r="Q115" s="4" t="s">
        <v>406</v>
      </c>
      <c r="R115" s="4" t="s">
        <v>129</v>
      </c>
      <c r="S115" s="3">
        <v>8</v>
      </c>
      <c r="U115" s="4"/>
    </row>
    <row r="116" spans="6:21" ht="14.25">
      <c r="F116" s="4"/>
      <c r="N116" s="4" t="s">
        <v>249</v>
      </c>
      <c r="O116" s="3">
        <v>0.5</v>
      </c>
      <c r="Q116" s="4" t="s">
        <v>407</v>
      </c>
      <c r="R116" s="4" t="s">
        <v>164</v>
      </c>
      <c r="S116" s="3">
        <f>5+3</f>
        <v>8</v>
      </c>
      <c r="U116" s="4"/>
    </row>
    <row r="117" spans="6:21" ht="14.25">
      <c r="F117" s="4"/>
      <c r="N117" s="4" t="s">
        <v>408</v>
      </c>
      <c r="O117" s="3">
        <v>0.5</v>
      </c>
      <c r="Q117" s="4" t="s">
        <v>409</v>
      </c>
      <c r="R117" s="4" t="s">
        <v>122</v>
      </c>
      <c r="S117" s="3">
        <v>7</v>
      </c>
      <c r="U117" s="4"/>
    </row>
    <row r="118" spans="6:21" ht="14.25">
      <c r="F118" s="4"/>
      <c r="N118" s="4" t="s">
        <v>410</v>
      </c>
      <c r="O118" s="3">
        <v>0.5</v>
      </c>
      <c r="Q118" s="4" t="s">
        <v>411</v>
      </c>
      <c r="R118" s="4" t="s">
        <v>132</v>
      </c>
      <c r="S118" s="3">
        <v>7</v>
      </c>
      <c r="U118" s="4"/>
    </row>
    <row r="119" spans="6:21" ht="14.25">
      <c r="F119" s="4"/>
      <c r="N119" s="4" t="s">
        <v>412</v>
      </c>
      <c r="O119" s="3">
        <v>0.5</v>
      </c>
      <c r="Q119" s="4" t="s">
        <v>413</v>
      </c>
      <c r="R119" s="4" t="s">
        <v>180</v>
      </c>
      <c r="S119" s="3">
        <f>4.5+2</f>
        <v>6.5</v>
      </c>
      <c r="U119" s="4"/>
    </row>
    <row r="120" spans="6:21" ht="14.25">
      <c r="F120" s="4"/>
      <c r="N120" s="4" t="s">
        <v>414</v>
      </c>
      <c r="O120" s="3">
        <v>0.5</v>
      </c>
      <c r="Q120" s="4" t="s">
        <v>415</v>
      </c>
      <c r="R120" s="4" t="s">
        <v>218</v>
      </c>
      <c r="S120" s="3">
        <f>3+3</f>
        <v>6</v>
      </c>
      <c r="U120" s="4"/>
    </row>
    <row r="121" spans="6:21" ht="14.25">
      <c r="F121" s="4"/>
      <c r="N121" s="4" t="s">
        <v>416</v>
      </c>
      <c r="O121" s="3">
        <v>0.5</v>
      </c>
      <c r="Q121" s="4" t="s">
        <v>417</v>
      </c>
      <c r="R121" s="4" t="s">
        <v>136</v>
      </c>
      <c r="S121" s="3">
        <v>6</v>
      </c>
      <c r="U121" s="4"/>
    </row>
    <row r="122" spans="6:21" ht="14.25">
      <c r="F122" s="4"/>
      <c r="Q122" s="4" t="s">
        <v>418</v>
      </c>
      <c r="R122" s="4" t="s">
        <v>159</v>
      </c>
      <c r="S122" s="3">
        <f>5+1</f>
        <v>6</v>
      </c>
      <c r="U122" s="4"/>
    </row>
    <row r="123" spans="6:21" ht="14.25">
      <c r="F123" s="4"/>
      <c r="Q123" s="4" t="s">
        <v>419</v>
      </c>
      <c r="R123" s="4" t="s">
        <v>146</v>
      </c>
      <c r="S123" s="3">
        <v>6</v>
      </c>
      <c r="U123" s="4"/>
    </row>
    <row r="124" spans="6:21" ht="14.25">
      <c r="F124" s="4"/>
      <c r="Q124" s="4" t="s">
        <v>420</v>
      </c>
      <c r="R124" s="4" t="s">
        <v>179</v>
      </c>
      <c r="S124" s="3">
        <f>5+1</f>
        <v>6</v>
      </c>
      <c r="U124" s="4"/>
    </row>
    <row r="125" spans="6:21" ht="14.25">
      <c r="F125" s="4"/>
      <c r="Q125" s="4" t="s">
        <v>421</v>
      </c>
      <c r="R125" s="4" t="s">
        <v>160</v>
      </c>
      <c r="S125" s="3">
        <v>5.5</v>
      </c>
      <c r="U125" s="4"/>
    </row>
    <row r="126" spans="6:21" ht="14.25">
      <c r="F126" s="4"/>
      <c r="Q126" s="4" t="s">
        <v>422</v>
      </c>
      <c r="R126" s="4" t="s">
        <v>149</v>
      </c>
      <c r="S126" s="3">
        <v>5.5</v>
      </c>
      <c r="U126" s="4"/>
    </row>
    <row r="127" spans="6:21" ht="14.25">
      <c r="F127" s="4"/>
      <c r="Q127" s="4" t="s">
        <v>423</v>
      </c>
      <c r="R127" s="4" t="s">
        <v>174</v>
      </c>
      <c r="S127" s="3">
        <v>5</v>
      </c>
      <c r="U127" s="4"/>
    </row>
    <row r="128" spans="6:21" ht="14.25">
      <c r="F128" s="4"/>
      <c r="Q128" s="4" t="s">
        <v>424</v>
      </c>
      <c r="R128" s="4" t="s">
        <v>173</v>
      </c>
      <c r="S128" s="3">
        <v>5</v>
      </c>
      <c r="U128" s="4"/>
    </row>
    <row r="129" spans="6:21" ht="14.25">
      <c r="F129" s="4"/>
      <c r="Q129" s="4" t="s">
        <v>425</v>
      </c>
      <c r="R129" s="4" t="s">
        <v>211</v>
      </c>
      <c r="S129" s="3">
        <f>2+2.5</f>
        <v>4.5</v>
      </c>
      <c r="U129" s="4"/>
    </row>
    <row r="130" spans="17:21" ht="14.25">
      <c r="Q130" s="4" t="s">
        <v>426</v>
      </c>
      <c r="R130" s="4" t="s">
        <v>427</v>
      </c>
      <c r="S130" s="3">
        <f>2.5+2</f>
        <v>4.5</v>
      </c>
      <c r="U130" s="4"/>
    </row>
    <row r="131" spans="17:21" ht="14.25">
      <c r="Q131" s="4" t="s">
        <v>428</v>
      </c>
      <c r="R131" s="4" t="s">
        <v>169</v>
      </c>
      <c r="S131" s="3">
        <v>4.5</v>
      </c>
      <c r="U131" s="4"/>
    </row>
    <row r="132" spans="17:21" ht="14.25">
      <c r="Q132" s="4" t="s">
        <v>429</v>
      </c>
      <c r="R132" s="4" t="s">
        <v>181</v>
      </c>
      <c r="S132" s="3">
        <v>4</v>
      </c>
      <c r="U132" s="4"/>
    </row>
    <row r="133" spans="17:21" ht="14.25">
      <c r="Q133" s="4" t="s">
        <v>430</v>
      </c>
      <c r="R133" s="4" t="s">
        <v>232</v>
      </c>
      <c r="S133" s="3">
        <f>2+1</f>
        <v>3</v>
      </c>
      <c r="U133" s="4"/>
    </row>
    <row r="134" spans="17:21" ht="14.25">
      <c r="Q134" s="4" t="s">
        <v>431</v>
      </c>
      <c r="R134" s="4" t="s">
        <v>219</v>
      </c>
      <c r="S134" s="3">
        <v>3</v>
      </c>
      <c r="U134" s="4"/>
    </row>
    <row r="135" spans="17:21" ht="14.25">
      <c r="Q135" s="4" t="s">
        <v>432</v>
      </c>
      <c r="R135" s="4" t="s">
        <v>433</v>
      </c>
      <c r="S135" s="3">
        <v>2.5</v>
      </c>
      <c r="U135" s="4"/>
    </row>
    <row r="136" spans="17:21" ht="14.25">
      <c r="Q136" s="4" t="s">
        <v>434</v>
      </c>
      <c r="R136" s="4" t="s">
        <v>228</v>
      </c>
      <c r="S136" s="3">
        <v>2.5</v>
      </c>
      <c r="U136" s="4"/>
    </row>
    <row r="137" spans="17:21" ht="14.25">
      <c r="Q137" s="4" t="s">
        <v>435</v>
      </c>
      <c r="R137" s="4" t="s">
        <v>222</v>
      </c>
      <c r="S137" s="3">
        <v>2.5</v>
      </c>
      <c r="U137" s="4"/>
    </row>
    <row r="138" spans="17:21" ht="14.25">
      <c r="Q138" s="4" t="s">
        <v>436</v>
      </c>
      <c r="R138" s="4" t="s">
        <v>254</v>
      </c>
      <c r="S138" s="3">
        <v>2</v>
      </c>
      <c r="U138" s="4"/>
    </row>
    <row r="139" spans="17:21" ht="14.25">
      <c r="Q139" s="4" t="s">
        <v>437</v>
      </c>
      <c r="R139" s="4" t="s">
        <v>257</v>
      </c>
      <c r="S139" s="3">
        <v>2</v>
      </c>
      <c r="U139" s="4"/>
    </row>
    <row r="140" spans="17:21" ht="14.25">
      <c r="Q140" s="4" t="s">
        <v>438</v>
      </c>
      <c r="R140" s="4" t="s">
        <v>267</v>
      </c>
      <c r="S140" s="3">
        <v>2</v>
      </c>
      <c r="U140" s="4"/>
    </row>
    <row r="141" spans="17:21" ht="14.25">
      <c r="Q141" s="4" t="s">
        <v>439</v>
      </c>
      <c r="R141" s="4" t="s">
        <v>264</v>
      </c>
      <c r="S141" s="3">
        <v>2</v>
      </c>
      <c r="U141" s="4"/>
    </row>
    <row r="142" spans="17:21" ht="14.25">
      <c r="Q142" s="4" t="s">
        <v>440</v>
      </c>
      <c r="R142" s="4" t="s">
        <v>242</v>
      </c>
      <c r="S142" s="3">
        <v>2</v>
      </c>
      <c r="U142" s="4"/>
    </row>
    <row r="143" spans="17:21" ht="14.25">
      <c r="Q143" s="4" t="s">
        <v>441</v>
      </c>
      <c r="R143" s="4" t="s">
        <v>246</v>
      </c>
      <c r="S143" s="3">
        <v>2</v>
      </c>
      <c r="U143" s="4"/>
    </row>
    <row r="144" spans="17:21" ht="14.25">
      <c r="Q144" s="4" t="s">
        <v>442</v>
      </c>
      <c r="R144" s="4" t="s">
        <v>261</v>
      </c>
      <c r="S144" s="3">
        <v>2</v>
      </c>
      <c r="U144" s="4"/>
    </row>
    <row r="145" spans="17:21" ht="14.25">
      <c r="Q145" s="4" t="s">
        <v>443</v>
      </c>
      <c r="R145" s="4" t="s">
        <v>274</v>
      </c>
      <c r="S145" s="3">
        <v>1.5</v>
      </c>
      <c r="U145" s="4"/>
    </row>
    <row r="146" spans="17:21" ht="14.25">
      <c r="Q146" s="4" t="s">
        <v>444</v>
      </c>
      <c r="R146" s="4" t="s">
        <v>296</v>
      </c>
      <c r="S146" s="3">
        <v>1</v>
      </c>
      <c r="U146" s="4"/>
    </row>
    <row r="147" spans="17:21" ht="14.25">
      <c r="Q147" s="4" t="s">
        <v>445</v>
      </c>
      <c r="R147" s="4" t="s">
        <v>324</v>
      </c>
      <c r="S147" s="3">
        <v>1</v>
      </c>
      <c r="U147" s="4"/>
    </row>
    <row r="148" spans="17:21" ht="14.25">
      <c r="Q148" s="4" t="s">
        <v>446</v>
      </c>
      <c r="R148" s="4" t="s">
        <v>327</v>
      </c>
      <c r="S148" s="3">
        <v>1</v>
      </c>
      <c r="U148" s="4"/>
    </row>
    <row r="149" spans="17:21" ht="14.25">
      <c r="Q149" s="4" t="s">
        <v>447</v>
      </c>
      <c r="R149" s="4" t="s">
        <v>303</v>
      </c>
      <c r="S149" s="3">
        <v>1</v>
      </c>
      <c r="U149" s="4"/>
    </row>
    <row r="150" spans="17:21" ht="14.25">
      <c r="Q150" s="4" t="s">
        <v>448</v>
      </c>
      <c r="R150" s="4" t="s">
        <v>330</v>
      </c>
      <c r="S150" s="3">
        <v>1</v>
      </c>
      <c r="U150" s="4"/>
    </row>
    <row r="151" spans="17:21" ht="14.25">
      <c r="Q151" s="4" t="s">
        <v>449</v>
      </c>
      <c r="R151" s="4" t="s">
        <v>279</v>
      </c>
      <c r="S151" s="3">
        <v>1</v>
      </c>
      <c r="U151" s="4"/>
    </row>
    <row r="152" spans="17:21" ht="14.25">
      <c r="Q152" s="4" t="s">
        <v>450</v>
      </c>
      <c r="R152" s="4" t="s">
        <v>310</v>
      </c>
      <c r="S152" s="3">
        <v>1</v>
      </c>
      <c r="U152" s="4"/>
    </row>
    <row r="153" spans="17:21" ht="14.25">
      <c r="Q153" s="4" t="s">
        <v>451</v>
      </c>
      <c r="R153" s="4" t="s">
        <v>315</v>
      </c>
      <c r="S153" s="3">
        <v>1</v>
      </c>
      <c r="U153" s="4"/>
    </row>
    <row r="154" spans="17:21" ht="14.25">
      <c r="Q154" s="4" t="s">
        <v>452</v>
      </c>
      <c r="R154" s="4" t="s">
        <v>335</v>
      </c>
      <c r="S154" s="3">
        <v>0.5</v>
      </c>
      <c r="U154" s="4"/>
    </row>
    <row r="155" spans="17:21" ht="14.25">
      <c r="Q155" s="4"/>
      <c r="R155" s="4"/>
      <c r="S155" s="3"/>
      <c r="U155" s="4"/>
    </row>
    <row r="156" spans="17:19" ht="14.25">
      <c r="Q156" s="4"/>
      <c r="R156" s="4"/>
      <c r="S156" s="3"/>
    </row>
    <row r="157" spans="17:19" ht="14.25">
      <c r="Q157" s="4"/>
      <c r="R157" s="4"/>
      <c r="S157" s="3"/>
    </row>
    <row r="158" spans="17:19" ht="14.25">
      <c r="Q158" s="4"/>
      <c r="R158" s="4"/>
      <c r="S158" s="3"/>
    </row>
    <row r="159" spans="17:19" ht="14.25">
      <c r="Q159" s="4"/>
      <c r="R159" s="4"/>
      <c r="S159" s="3"/>
    </row>
    <row r="160" spans="17:19" ht="14.25">
      <c r="Q160" s="4"/>
      <c r="R160" s="4"/>
      <c r="S160" s="3"/>
    </row>
    <row r="161" spans="17:19" ht="14.25">
      <c r="Q161" s="4"/>
      <c r="R161" s="4"/>
      <c r="S161" s="3"/>
    </row>
    <row r="162" ht="14.25">
      <c r="S162" s="3"/>
    </row>
    <row r="163" ht="14.25">
      <c r="S163" s="3"/>
    </row>
    <row r="164" ht="14.25">
      <c r="S164" s="3"/>
    </row>
    <row r="165" ht="14.25">
      <c r="S165" s="3"/>
    </row>
    <row r="166" ht="14.25">
      <c r="S166" s="3"/>
    </row>
    <row r="167" ht="14.25">
      <c r="S167" s="3"/>
    </row>
    <row r="168" ht="14.25">
      <c r="S168" s="3"/>
    </row>
    <row r="169" ht="14.25">
      <c r="S169" s="3"/>
    </row>
    <row r="170" ht="14.25">
      <c r="S170" s="3"/>
    </row>
    <row r="171" ht="14.25">
      <c r="S171" s="3"/>
    </row>
    <row r="172" ht="14.25">
      <c r="S172" s="3"/>
    </row>
    <row r="173" ht="14.25">
      <c r="S173" s="3"/>
    </row>
    <row r="174" ht="14.25">
      <c r="S174" s="3"/>
    </row>
    <row r="175" ht="14.25">
      <c r="S175" s="3"/>
    </row>
    <row r="176" ht="14.25">
      <c r="S176" s="3"/>
    </row>
    <row r="177" ht="14.25">
      <c r="S177" s="3"/>
    </row>
    <row r="178" ht="14.25">
      <c r="S178" s="3"/>
    </row>
    <row r="179" ht="14.25">
      <c r="S179" s="3"/>
    </row>
    <row r="180" ht="14.25">
      <c r="S180" s="3"/>
    </row>
    <row r="181" ht="14.25">
      <c r="S181" s="3"/>
    </row>
    <row r="182" ht="14.25">
      <c r="S182" s="3"/>
    </row>
    <row r="183" ht="14.25">
      <c r="S183" s="3"/>
    </row>
    <row r="184" ht="14.25">
      <c r="S184" s="3"/>
    </row>
    <row r="185" ht="14.25">
      <c r="S185" s="3"/>
    </row>
    <row r="186" ht="14.25">
      <c r="S186" s="3"/>
    </row>
    <row r="187" ht="14.25">
      <c r="S187" s="3"/>
    </row>
    <row r="7828" spans="1:19" ht="14.25">
      <c r="A7828" s="4"/>
      <c r="B7828" s="4"/>
      <c r="C7828" s="3"/>
      <c r="D7828" s="4"/>
      <c r="E7828" s="4"/>
      <c r="F7828" s="4"/>
      <c r="G7828" s="3"/>
      <c r="H7828" s="4"/>
      <c r="I7828" s="5"/>
      <c r="S7828" s="7"/>
    </row>
    <row r="7829" spans="1:19" ht="14.25">
      <c r="A7829" s="4"/>
      <c r="B7829" s="4"/>
      <c r="C7829" s="3"/>
      <c r="D7829" s="4"/>
      <c r="E7829" s="4"/>
      <c r="F7829" s="4"/>
      <c r="G7829" s="3"/>
      <c r="H7829" s="4"/>
      <c r="I7829" s="5"/>
      <c r="S7829" s="7"/>
    </row>
    <row r="7830" spans="1:19" ht="14.25">
      <c r="A7830" s="4"/>
      <c r="B7830" s="4"/>
      <c r="C7830" s="3"/>
      <c r="D7830" s="4"/>
      <c r="E7830" s="4"/>
      <c r="F7830" s="4"/>
      <c r="G7830" s="3"/>
      <c r="H7830" s="4"/>
      <c r="I7830" s="5"/>
      <c r="S7830" s="7"/>
    </row>
    <row r="7831" spans="1:19" ht="14.25">
      <c r="A7831" s="4"/>
      <c r="B7831" s="4"/>
      <c r="C7831" s="3"/>
      <c r="D7831" s="4"/>
      <c r="E7831" s="4"/>
      <c r="F7831" s="4"/>
      <c r="G7831" s="3"/>
      <c r="H7831" s="4"/>
      <c r="I7831" s="5"/>
      <c r="S7831" s="7"/>
    </row>
    <row r="7832" spans="1:19" ht="14.25">
      <c r="A7832" s="4"/>
      <c r="B7832" s="4"/>
      <c r="C7832" s="3"/>
      <c r="D7832" s="4"/>
      <c r="E7832" s="4"/>
      <c r="F7832" s="4"/>
      <c r="G7832" s="3"/>
      <c r="H7832" s="4"/>
      <c r="I7832" s="5"/>
      <c r="S7832" s="7"/>
    </row>
    <row r="7833" spans="1:19" ht="14.25">
      <c r="A7833" s="4"/>
      <c r="B7833" s="4"/>
      <c r="C7833" s="3"/>
      <c r="D7833" s="4"/>
      <c r="E7833" s="4"/>
      <c r="F7833" s="4"/>
      <c r="G7833" s="3"/>
      <c r="H7833" s="4"/>
      <c r="I7833" s="5"/>
      <c r="S7833" s="7"/>
    </row>
    <row r="7834" spans="1:19" ht="14.25">
      <c r="A7834" s="4"/>
      <c r="B7834" s="4"/>
      <c r="C7834" s="3"/>
      <c r="D7834" s="4"/>
      <c r="E7834" s="4"/>
      <c r="F7834" s="4"/>
      <c r="G7834" s="3"/>
      <c r="H7834" s="4"/>
      <c r="I7834" s="5"/>
      <c r="S7834" s="7"/>
    </row>
    <row r="7835" spans="1:19" ht="14.25">
      <c r="A7835" s="4"/>
      <c r="B7835" s="4"/>
      <c r="C7835" s="3"/>
      <c r="D7835" s="4"/>
      <c r="E7835" s="4"/>
      <c r="F7835" s="4"/>
      <c r="G7835" s="3"/>
      <c r="H7835" s="4"/>
      <c r="I7835" s="5"/>
      <c r="S7835" s="7"/>
    </row>
    <row r="7836" spans="1:19" ht="14.25">
      <c r="A7836" s="4"/>
      <c r="B7836" s="4"/>
      <c r="C7836" s="3"/>
      <c r="D7836" s="4"/>
      <c r="E7836" s="4"/>
      <c r="F7836" s="4"/>
      <c r="G7836" s="3"/>
      <c r="H7836" s="4"/>
      <c r="I7836" s="5"/>
      <c r="S7836" s="7"/>
    </row>
    <row r="7837" spans="1:19" ht="14.25">
      <c r="A7837" s="4"/>
      <c r="B7837" s="4"/>
      <c r="C7837" s="3"/>
      <c r="D7837" s="4"/>
      <c r="E7837" s="4"/>
      <c r="F7837" s="4"/>
      <c r="G7837" s="3"/>
      <c r="H7837" s="4"/>
      <c r="I7837" s="5"/>
      <c r="S7837" s="7"/>
    </row>
    <row r="7838" spans="1:19" ht="14.25">
      <c r="A7838" s="4"/>
      <c r="B7838" s="4"/>
      <c r="C7838" s="3"/>
      <c r="D7838" s="4"/>
      <c r="E7838" s="4"/>
      <c r="F7838" s="4"/>
      <c r="G7838" s="3"/>
      <c r="H7838" s="4"/>
      <c r="I7838" s="5"/>
      <c r="S7838" s="7"/>
    </row>
    <row r="7839" spans="1:19" ht="14.25">
      <c r="A7839" s="4"/>
      <c r="B7839" s="4"/>
      <c r="C7839" s="3"/>
      <c r="D7839" s="4"/>
      <c r="E7839" s="4"/>
      <c r="F7839" s="4"/>
      <c r="G7839" s="3"/>
      <c r="H7839" s="4"/>
      <c r="I7839" s="5"/>
      <c r="S7839" s="7"/>
    </row>
    <row r="7840" spans="1:19" ht="14.25">
      <c r="A7840" s="4"/>
      <c r="B7840" s="4"/>
      <c r="C7840" s="3"/>
      <c r="D7840" s="4"/>
      <c r="E7840" s="4"/>
      <c r="F7840" s="4"/>
      <c r="G7840" s="3"/>
      <c r="H7840" s="4"/>
      <c r="I7840" s="5"/>
      <c r="S7840" s="7"/>
    </row>
    <row r="7841" spans="1:19" ht="14.25">
      <c r="A7841" s="4"/>
      <c r="B7841" s="4"/>
      <c r="C7841" s="3"/>
      <c r="D7841" s="4"/>
      <c r="E7841" s="4"/>
      <c r="F7841" s="4"/>
      <c r="G7841" s="3"/>
      <c r="H7841" s="4"/>
      <c r="I7841" s="5"/>
      <c r="S7841" s="7"/>
    </row>
    <row r="7842" spans="1:19" ht="14.25">
      <c r="A7842" s="4"/>
      <c r="B7842" s="4"/>
      <c r="C7842" s="3"/>
      <c r="D7842" s="4"/>
      <c r="E7842" s="4"/>
      <c r="F7842" s="4"/>
      <c r="G7842" s="3"/>
      <c r="H7842" s="4"/>
      <c r="I7842" s="5"/>
      <c r="S7842" s="7"/>
    </row>
    <row r="7843" spans="1:19" ht="14.25">
      <c r="A7843" s="4"/>
      <c r="B7843" s="4"/>
      <c r="C7843" s="3"/>
      <c r="D7843" s="4"/>
      <c r="E7843" s="4"/>
      <c r="F7843" s="4"/>
      <c r="G7843" s="3"/>
      <c r="H7843" s="4"/>
      <c r="I7843" s="5"/>
      <c r="S7843" s="7"/>
    </row>
    <row r="7844" spans="1:19" ht="14.25">
      <c r="A7844" s="4"/>
      <c r="B7844" s="4"/>
      <c r="C7844" s="3"/>
      <c r="D7844" s="4"/>
      <c r="E7844" s="4"/>
      <c r="F7844" s="4"/>
      <c r="G7844" s="3"/>
      <c r="H7844" s="4"/>
      <c r="I7844" s="5"/>
      <c r="S7844" s="7"/>
    </row>
    <row r="7845" spans="1:19" ht="14.25">
      <c r="A7845" s="4"/>
      <c r="B7845" s="4"/>
      <c r="C7845" s="3"/>
      <c r="D7845" s="4"/>
      <c r="E7845" s="4"/>
      <c r="F7845" s="4"/>
      <c r="G7845" s="3"/>
      <c r="H7845" s="4"/>
      <c r="I7845" s="5"/>
      <c r="S7845" s="7"/>
    </row>
    <row r="7846" spans="1:19" ht="14.25">
      <c r="A7846" s="4"/>
      <c r="B7846" s="4"/>
      <c r="C7846" s="3"/>
      <c r="D7846" s="4"/>
      <c r="E7846" s="4"/>
      <c r="F7846" s="4"/>
      <c r="G7846" s="3"/>
      <c r="H7846" s="4"/>
      <c r="I7846" s="5"/>
      <c r="S7846" s="7"/>
    </row>
    <row r="7847" spans="1:19" ht="14.25">
      <c r="A7847" s="4"/>
      <c r="B7847" s="4"/>
      <c r="C7847" s="3"/>
      <c r="D7847" s="4"/>
      <c r="E7847" s="4"/>
      <c r="F7847" s="4"/>
      <c r="G7847" s="3"/>
      <c r="H7847" s="4"/>
      <c r="I7847" s="5"/>
      <c r="S7847" s="7"/>
    </row>
    <row r="7848" spans="1:19" ht="14.25">
      <c r="A7848" s="4"/>
      <c r="B7848" s="4"/>
      <c r="C7848" s="3"/>
      <c r="D7848" s="4"/>
      <c r="E7848" s="4"/>
      <c r="F7848" s="4"/>
      <c r="G7848" s="3"/>
      <c r="H7848" s="4"/>
      <c r="I7848" s="5"/>
      <c r="S7848" s="7"/>
    </row>
    <row r="7849" spans="1:19" ht="14.25">
      <c r="A7849" s="4"/>
      <c r="B7849" s="4"/>
      <c r="C7849" s="3"/>
      <c r="D7849" s="4"/>
      <c r="E7849" s="4"/>
      <c r="F7849" s="4"/>
      <c r="G7849" s="3"/>
      <c r="H7849" s="4"/>
      <c r="I7849" s="5"/>
      <c r="S7849" s="7"/>
    </row>
  </sheetData>
  <sheetProtection/>
  <printOptions/>
  <pageMargins left="0.2" right="0.2" top="0.15" bottom="0.15" header="0.5" footer="0.5"/>
  <pageSetup orientation="landscape" scale="71" r:id="rId1"/>
  <ignoredErrors>
    <ignoredError sqref="B5 F5 J5 N5 A8:A51 E8:E51 I8:I51 I52:I55 E52:E55 A52 M8:M51 M6:M7 I6:I7 E6:E7 A6:A7 Q8:Q1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Gilbert</dc:creator>
  <cp:keywords/>
  <dc:description/>
  <cp:lastModifiedBy>Karl</cp:lastModifiedBy>
  <cp:lastPrinted>2010-03-04T17:34:43Z</cp:lastPrinted>
  <dcterms:created xsi:type="dcterms:W3CDTF">2014-01-13T16:18:31Z</dcterms:created>
  <dcterms:modified xsi:type="dcterms:W3CDTF">2014-01-13T16:18:31Z</dcterms:modified>
  <cp:category/>
  <cp:version/>
  <cp:contentType/>
  <cp:contentStatus/>
</cp:coreProperties>
</file>